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32" windowWidth="12120" windowHeight="9096" activeTab="0"/>
  </bookViews>
  <sheets>
    <sheet name="配合" sheetId="1" r:id="rId1"/>
    <sheet name="方案歩留り設定" sheetId="2" r:id="rId2"/>
    <sheet name="操業条件" sheetId="3" r:id="rId3"/>
    <sheet name="溶解原料" sheetId="4" r:id="rId4"/>
    <sheet name="球化、他" sheetId="5" r:id="rId5"/>
    <sheet name="電力" sheetId="6" r:id="rId6"/>
    <sheet name="労働人員" sheetId="7" r:id="rId7"/>
    <sheet name="熱処理梱包" sheetId="8" r:id="rId8"/>
    <sheet name="賃率、経費" sheetId="9" r:id="rId9"/>
    <sheet name="設定条件表" sheetId="10" r:id="rId10"/>
    <sheet name="ｺｽﾄ表" sheetId="11" r:id="rId11"/>
    <sheet name="計算式" sheetId="12" r:id="rId12"/>
    <sheet name="ｸﾞﾗﾌ1" sheetId="13" r:id="rId13"/>
    <sheet name="ｸﾞﾗﾌ２" sheetId="14" r:id="rId14"/>
  </sheets>
  <definedNames/>
  <calcPr calcMode="autoNoTable" fullCalcOnLoad="1" iterate="1" iterateCount="1" iterateDelta="0"/>
</workbook>
</file>

<file path=xl/sharedStrings.xml><?xml version="1.0" encoding="utf-8"?>
<sst xmlns="http://schemas.openxmlformats.org/spreadsheetml/2006/main" count="1751" uniqueCount="887">
  <si>
    <t>ｸﾞﾘｰﾝ</t>
  </si>
  <si>
    <t>;ｲﾝﾌﾟｯﾄ欄</t>
  </si>
  <si>
    <t>ﾋﾟﾝｸ</t>
  </si>
  <si>
    <t>；計算結果</t>
  </si>
  <si>
    <t>　　「コスト差確認窓」</t>
  </si>
  <si>
    <t xml:space="preserve">           製品目標成分</t>
  </si>
  <si>
    <t>「球状化処理によって増加するSi％の算出」</t>
  </si>
  <si>
    <t>溶解コスト</t>
  </si>
  <si>
    <t>Ｃ</t>
  </si>
  <si>
    <t>Ｓｉ</t>
  </si>
  <si>
    <t>Ｍｇ(%)</t>
  </si>
  <si>
    <t>Ｓｉ(%)</t>
  </si>
  <si>
    <t>Sｉ歩留%</t>
  </si>
  <si>
    <t>コスト合計</t>
  </si>
  <si>
    <t>球化剤</t>
  </si>
  <si>
    <t>接種剤</t>
  </si>
  <si>
    <t>「配合の仮計算」</t>
  </si>
  <si>
    <t>原材料の配合</t>
  </si>
  <si>
    <t>　溶解量</t>
  </si>
  <si>
    <t>kg/ch</t>
  </si>
  <si>
    <t>主原料の配合計算</t>
  </si>
  <si>
    <t>配合計算</t>
  </si>
  <si>
    <t>酸化減耗量(%)</t>
  </si>
  <si>
    <t>酸化減耗合計</t>
  </si>
  <si>
    <t>溶解歩留まり（％）</t>
  </si>
  <si>
    <t>配合計算結果（％）</t>
  </si>
  <si>
    <t>主原料配合比</t>
  </si>
  <si>
    <t>Ｍｎ</t>
  </si>
  <si>
    <t>Ｐ</t>
  </si>
  <si>
    <t>Ｓ</t>
  </si>
  <si>
    <t>　Ｃｕ</t>
  </si>
  <si>
    <t>残　し　湯</t>
  </si>
  <si>
    <t>ＥＰ銑</t>
  </si>
  <si>
    <t>主原料</t>
  </si>
  <si>
    <t>銑鉄Ｆ</t>
  </si>
  <si>
    <t>銑鉄Ｂ</t>
  </si>
  <si>
    <t>鋼スクラップ</t>
  </si>
  <si>
    <t>戻　り　材</t>
  </si>
  <si>
    <t>Ｆｅ－Ｓｉ</t>
  </si>
  <si>
    <t>合計</t>
  </si>
  <si>
    <t>副原料</t>
  </si>
  <si>
    <t>Ｃｕ</t>
  </si>
  <si>
    <t>過不足</t>
  </si>
  <si>
    <t>Ｃｕ過不足</t>
  </si>
  <si>
    <t>加　炭　材</t>
  </si>
  <si>
    <t>添加量</t>
  </si>
  <si>
    <t>1999,10,12修正</t>
  </si>
  <si>
    <t>球状化処理前の成分</t>
  </si>
  <si>
    <t>「対冷材比」　</t>
  </si>
  <si>
    <t>計算</t>
  </si>
  <si>
    <t xml:space="preserve"> 　　戻り配合可能％</t>
  </si>
  <si>
    <t>C，Ｓi,Mnの酸化量合計</t>
  </si>
  <si>
    <t>　成分値</t>
  </si>
  <si>
    <t>　　　戻り原単位</t>
  </si>
  <si>
    <t xml:space="preserve">大気酸化Sｉ           </t>
  </si>
  <si>
    <t>%</t>
  </si>
  <si>
    <t>次は方案歩留まりをｸﾘｯｸします。</t>
  </si>
  <si>
    <t>FeOの還元に寄与Si</t>
  </si>
  <si>
    <t>大気でｽﾗｸﾞ化するSiO２</t>
  </si>
  <si>
    <t>「計算式」</t>
  </si>
  <si>
    <t>大気でｽﾗｸﾞ化するMnO</t>
  </si>
  <si>
    <t>１，目標成分・・・C,Siは２通りの配合共に同一としています。Mnについては主原料と残り湯の配合計算結果を表示しています。</t>
  </si>
  <si>
    <t>FeO還元でｽﾗｸﾞ化するSiO２</t>
  </si>
  <si>
    <t>FeO還元でｽﾗｸﾞ化するMnO</t>
  </si>
  <si>
    <t>２，球状化処理前の成分・・・Siは球状化剤と接種剤から入るSi％を差引いています。</t>
  </si>
  <si>
    <t>　　スラグ化合計</t>
  </si>
  <si>
    <t>３，副原料の配合・・・P３ーAB１５の範囲に仮計算を行っていますが、各副原料の計算は以下の通りです。</t>
  </si>
  <si>
    <t>FeOの還元量（Fe換算％）</t>
  </si>
  <si>
    <t>各副原料配合％＝各副原料の過不足％÷各副原料の成分％÷溶解時の成分歩留まり％×10000</t>
  </si>
  <si>
    <t xml:space="preserve">     計</t>
  </si>
  <si>
    <t>ﾀﾞｽﾄ化する加炭材</t>
  </si>
  <si>
    <t>４，戻り配合可能％・・・戻り原単位×１００・・・・・・この％以上の戻り配合を行うと月末に戻り材が不足することになります。</t>
  </si>
  <si>
    <t>戻り原単位の計算は次ページの「操業条件」で計算していますが、溶解量に対する戻り発生量の比です。</t>
  </si>
  <si>
    <t>１，酸化減耗するC,Si,Mnの内8０％は大気による酸化とし、2０％がFeOを還元し酸化減耗と仮定　　　</t>
  </si>
  <si>
    <t>２，加炭材中の減耗Cは還元に寄与せず、ダスト化すると仮定。</t>
  </si>
  <si>
    <t>３，FeO還元反応</t>
  </si>
  <si>
    <t>FeO+C　＝Fe+CO</t>
  </si>
  <si>
    <t>２FeO+Si＝２Fe+SiO２</t>
  </si>
  <si>
    <t>FeO+Mn　＝Fe+MnO</t>
  </si>
  <si>
    <t>　　　方案歩留まりの設定</t>
  </si>
  <si>
    <t xml:space="preserve">  ｸﾞﾘｰﾝ</t>
  </si>
  <si>
    <t>；インプット</t>
  </si>
  <si>
    <t>方案歩留まりは１枠に入る製品重量と溶湯鋳込み重量との比で算出します</t>
  </si>
  <si>
    <t>「鋳込み重量の算出」</t>
  </si>
  <si>
    <t>左表作成時の参考計算表です　</t>
  </si>
  <si>
    <t>製品の単重　(Kg/製品１個）</t>
  </si>
  <si>
    <t>製品単重</t>
  </si>
  <si>
    <t>Kg/１個</t>
  </si>
  <si>
    <t>１枠の製品入り数　（個/枠）</t>
  </si>
  <si>
    <t>１枠の入り数</t>
  </si>
  <si>
    <t>個/枠</t>
  </si>
  <si>
    <t>溶湯鋳込み重量　（Kg/１枠）</t>
  </si>
  <si>
    <t>目標方案歩留まり</t>
  </si>
  <si>
    <t>％</t>
  </si>
  <si>
    <t>　方案歩留り計算値　（％）</t>
  </si>
  <si>
    <t>溶湯鋳込み重量</t>
  </si>
  <si>
    <t>Kg/１枠</t>
  </si>
  <si>
    <t>上記，計算結果は次ページの「操業条件」に転写します。</t>
  </si>
  <si>
    <t>「上記例から」</t>
  </si>
  <si>
    <t>方案歩留まりが変わると，当然　製品生産量が一定の場合であれば溶解量が低減します。・・・</t>
  </si>
  <si>
    <t>%の溶解量低減となり，</t>
  </si>
  <si>
    <t>又，溶解量が一定の場合は製品生産量増加となります。・・・・・・</t>
  </si>
  <si>
    <t>%の増産となります。</t>
  </si>
  <si>
    <t>従って，シミュレートの目的が増産効果の場合・・・・「操業条件」の頁で残業時間が同一になるよう製品生産量を調整します。</t>
  </si>
  <si>
    <t>製品生産量は一定の場合は・・・・・同一製品生産量にすることで，延べ溶解日数，又は残業時間等が算出されます。</t>
  </si>
  <si>
    <t>コストシミュレーション</t>
  </si>
  <si>
    <t>「操業条件」</t>
  </si>
  <si>
    <t>　「就労条件」</t>
  </si>
  <si>
    <t>月間就労日数　　（ｄ／Ｍ）</t>
  </si>
  <si>
    <t>　ｼﾌﾄ数</t>
  </si>
  <si>
    <t>１日溶解時間　hr</t>
  </si>
  <si>
    <t>仮計算」</t>
  </si>
  <si>
    <t>製品生産量　　　　（ｔ/月）</t>
  </si>
  <si>
    <t>日間就労時間　　（ｈｒ／ｄ）</t>
  </si>
  <si>
    <t>溶解</t>
  </si>
  <si>
    <t>1chの溶解時間　（分/ch）</t>
  </si>
  <si>
    <t>定時溶解時間　　（ｈｒ／ｄ）</t>
  </si>
  <si>
    <t>造形</t>
  </si>
  <si>
    <t>全残業時間</t>
  </si>
  <si>
    <t>hr/d</t>
  </si>
  <si>
    <t>１ｃｈの片付け時間（分/ｃｈ）</t>
  </si>
  <si>
    <t>一日の残業制限　（ｈｒ／ｄ）</t>
  </si>
  <si>
    <t>機械加工</t>
  </si>
  <si>
    <t>必要残業</t>
  </si>
  <si>
    <t>溶解歩留まり　　　（％）</t>
  </si>
  <si>
    <t>溶解炉の数　　　　（基数）</t>
  </si>
  <si>
    <t>d/Ｍ</t>
  </si>
  <si>
    <t>方案歩留まり　　　（％）</t>
  </si>
  <si>
    <t xml:space="preserve">  　　「コスト差確認窓」</t>
  </si>
  <si>
    <t>不良率　　　　　　　（％）</t>
  </si>
  <si>
    <t>ｽｸﾗｯﾌﾟの</t>
  </si>
  <si>
    <t>c㎡/１枚</t>
  </si>
  <si>
    <t>　１枚当たり</t>
  </si>
  <si>
    <t xml:space="preserve"> g/１枚</t>
  </si>
  <si>
    <t>上記結果から次のような計算結果が</t>
  </si>
  <si>
    <t>結果が得られます。</t>
  </si>
  <si>
    <t>「装入原材料の酸化減耗計算」</t>
  </si>
  <si>
    <t>「仮計算」</t>
  </si>
  <si>
    <t>使用鋼ｽｸﾗｯﾌﾟの肉厚　(m/m）</t>
  </si>
  <si>
    <t>原材料の表面積と酸化減耗</t>
  </si>
  <si>
    <t>溶解速度　　　　（t/hr)</t>
  </si>
  <si>
    <t>ｽｸﾗｯﾌﾟの酸化深さ設定（ﾐｸﾛﾝ</t>
  </si>
  <si>
    <t>「酸化減耗量＊配合比」</t>
  </si>
  <si>
    <t xml:space="preserve"> 「表面積」</t>
  </si>
  <si>
    <t>月間溶解量　　（ｔ／Ｍ）</t>
  </si>
  <si>
    <t>酸化元素のFeO還元率（％）</t>
  </si>
  <si>
    <t>・・・「酸化C,Si,MnがFeOを</t>
  </si>
  <si>
    <t xml:space="preserve">　kg/5kg </t>
  </si>
  <si>
    <t>　c㎡/5kg</t>
  </si>
  <si>
    <t>戻り材発生量の計算</t>
  </si>
  <si>
    <t>延べ溶解日数　（ｄ／Ｍ）</t>
  </si>
  <si>
    <t>ｽｸﾗｯﾌﾟの表面積　（c㎡/5kg）</t>
  </si>
  <si>
    <t>　　還元する比率を設定」</t>
  </si>
  <si>
    <t>必要残業時間　（ｈｒ／ｄ）</t>
  </si>
  <si>
    <t>酸化減耗（％）</t>
  </si>
  <si>
    <t>方案戻り</t>
  </si>
  <si>
    <t>必要公休出勤　（ｄ／Ｍ）</t>
  </si>
  <si>
    <t>不良品戻り</t>
  </si>
  <si>
    <t>戻り発生量　　　（ｔ／Ｍ）</t>
  </si>
  <si>
    <t>　</t>
  </si>
  <si>
    <t>戻り原単位　（戻り　t/溶解t）</t>
  </si>
  <si>
    <t>原単位　（溶解　ｔ/製品t）</t>
  </si>
  <si>
    <t>　　次は溶解原料をクリックします。</t>
  </si>
  <si>
    <t>　　　　　　酸化減量合計</t>
  </si>
  <si>
    <t>「戻りの表面積は銑鉄の２倍と設定」</t>
  </si>
  <si>
    <t>C,Si,Mnによる還元Fe   =</t>
  </si>
  <si>
    <t>「ｽｸﾗｯﾌﾟのｻｲｽﾞは１０＊１０cｍと設定」</t>
  </si>
  <si>
    <t>残業なしでの製品生産量</t>
  </si>
  <si>
    <t>t/M・・・・・・・・</t>
  </si>
  <si>
    <t>残業を０としたい場合の参考値</t>
  </si>
  <si>
    <t>差し引き酸化減耗Fe量 =</t>
  </si>
  <si>
    <t>　　　電気炉で鉄原料を加熱溶解していく段階で、その大半の時間は未溶解のまま高温に加熱されます。そのため空気の対流によって</t>
  </si>
  <si>
    <t>FeO発生量　　(Kg/t・湯）</t>
  </si>
  <si>
    <t>・・・1000×差し引き酸化減耗Fe%/100×FeO/Fe</t>
  </si>
  <si>
    <t>　　表面から酸化していくことが十分予測されます。　又、その酸化量は比表面積の多いほど大きくなります。</t>
  </si>
  <si>
    <t>FeO・SiO２　　(Kg/t・湯）</t>
  </si>
  <si>
    <t>・・・FeO発生量×FeO・SiO２/FeO</t>
  </si>
  <si>
    <t>　　そこで、使用原材料の表面積と配合比から酸化減耗量を算出し、以下の溶解歩留まり、スラグ発生量、更に耐火物浸食量に反映させます</t>
  </si>
  <si>
    <t>必要なSiO２　(Kg/t・湯）</t>
  </si>
  <si>
    <t>・・・FeO発生量×SiO２/FeO</t>
  </si>
  <si>
    <t>Si酸化SiO２　(Kg/t・湯）</t>
  </si>
  <si>
    <t>・・・1000×Si酸化で発生SiO２%/100</t>
  </si>
  <si>
    <t>１，溶解歩留まり・・・溶解過程で主原料の酸化減耗量を設定し、その酸化減耗量を差し引いています。</t>
  </si>
  <si>
    <t>過不足SiO２　(Kg/t・湯）</t>
  </si>
  <si>
    <t>・・・「－」はSiO２不足でﾗｲﾆﾝｸﾞを浸食、「＋」はｽﾗｸﾞとなる。</t>
  </si>
  <si>
    <t>酸化減耗量　　　　･ｽｸﾗｯﾌﾟ；一片が１０ｾﾝﾁ角と仮定してその全表面積を算出。酸化深さ設定により比重７で重量を算出。</t>
  </si>
  <si>
    <t>　　スラグ発生量(Kg/t・湯）</t>
  </si>
  <si>
    <t>　　　　　　　　　　　・銑鉄　　；一個が５ｋｇとして表面積を算出、比重７で重量を算出。</t>
  </si>
  <si>
    <t>FeO・SiO２　　　(Kg/t・湯）</t>
  </si>
  <si>
    <t>　　　　　　　　　　　・戻り材　；表面積を銑鉄の二倍として表面積を算出、比重７で重量を算出。</t>
  </si>
  <si>
    <t>過不足SiO２　　(Kg/t・湯）</t>
  </si>
  <si>
    <t>FeOの還元・・・酸化減耗するC,Si,Mnの何％がFeO還元に寄与するか設定します。この設定によって溶解歩留まりやスラグ</t>
  </si>
  <si>
    <t>酸化したMnO　(Kg/t・湯）</t>
  </si>
  <si>
    <t>　　　　　　　　　　発生量、更に耐火物浸食量などに影響を与えます。</t>
  </si>
  <si>
    <t>　　　　　　合　　計</t>
  </si>
  <si>
    <t>　　　　　　　　　従って、溶解歩留まり＝１００－主原料のFe酸化減耗＋FeO還元のFe - C,Si,Mnの酸化減耗</t>
  </si>
  <si>
    <t>「これらの仮計算結果はＮ10ーＱ３７の範囲、更に配合ﾍﾟｰｼﾞのAC３－AH３５の範囲に表示」</t>
  </si>
  <si>
    <t>耐火物浸食量（Kg/t・湯）</t>
  </si>
  <si>
    <t>・・・FeOと反応した量のみ（単なる溶損は含まず）</t>
  </si>
  <si>
    <t>２，スラグ発生量・・・発生した酸化鉄はすべて「FeO」となり、生成したSiO2と反応し「FeO・SiO2」（Fayalite）となってｽﾗｸﾞ化すると仮定。</t>
  </si>
  <si>
    <t>ｽﾗｸﾞ発生量  　(Kg/t・湯）</t>
  </si>
  <si>
    <t>スラグ量＝FeO・SiO2÷Fe・・・・酸化する鉄の2.36倍のスラグ発生量となる。</t>
  </si>
  <si>
    <t>「計算結果はコスト比較表に」</t>
  </si>
  <si>
    <t>過剰SiO２　　　(Kg/t・湯）</t>
  </si>
  <si>
    <t>スラグ発生量合計・・・・FeO・SiO２＋Mnの酸化で生じたMnO ・・・「その他の原因で発生するスラグは考慮せず」</t>
  </si>
  <si>
    <t>「現在使用していない」</t>
  </si>
  <si>
    <t>３，耐火物浸食量・・・上記スラグ発生量の反応から以下の式で浸食量を算出。</t>
  </si>
  <si>
    <t>FeO・SiO2生成に必要なSiO２がSiの酸化減耗で生じるSiO２で不足する場合、耐火物のSiO２を浸食すると仮定。</t>
  </si>
  <si>
    <t>浸食量＝SiO2÷Fe・・・・・・・・・・・酸化する鉄の1.074倍の浸食量となる。</t>
  </si>
  <si>
    <t>　　　　　　　　kg　　　　kg</t>
  </si>
  <si>
    <t>　　　　　分/ch</t>
  </si>
  <si>
    <t>４，溶解速度・・・（（（全溶解量－残湯量）÷（溶解時間＋片付け時間）×60）÷1000）×溶解炉基数</t>
  </si>
  <si>
    <t>５，月間熔解量・・月間製品生産量÷（（溶解歩留まり/100）×（方案歩留まり/100）×（１－不良率/100））</t>
  </si>
  <si>
    <t>６，延べ溶解日数・・月間溶解量÷（定時溶解時間×溶解速度）</t>
  </si>
  <si>
    <t>７，残業時間・・・・・・（（延べ溶解日数－月間就労日数）×日間就労時間÷月間就労日数</t>
  </si>
  <si>
    <t>「１日の残業制限時間内であれば、そのまま表示。越えた場合は公休出勤に廻す」</t>
  </si>
  <si>
    <t>８，公休出勤・・・・・・・（全残業時間－１日の残業時間制限）×月間就労日数÷日間就労時間</t>
  </si>
  <si>
    <t>９，戻り発生量・・・・・・方案戻り量＋不良戻り量</t>
  </si>
  <si>
    <t>方案戻り量＝月間熔解量×溶解歩留まり/100×（（100－方案歩留まり）/100）</t>
  </si>
  <si>
    <t>不良戻り量＝月間熔解量×溶解歩留まり/100×方案歩留まり/100×不良率/100</t>
  </si>
  <si>
    <t>１０，戻り原単位・・・・・月間戻り発生量÷月間溶解量</t>
  </si>
  <si>
    <t>・・・・コスト計算などの係数として使用する。</t>
  </si>
  <si>
    <t>１１，原単位・・・・・・・・月間溶解量÷月間製品生産量</t>
  </si>
  <si>
    <t>・・・・　　同上</t>
  </si>
  <si>
    <t xml:space="preserve">                              「 　１　÷　 （（溶解歩留まり/100）×（方案歩留まり/100）×（１－不良率/100））　」　</t>
  </si>
  <si>
    <t>「溶解原料費のコストシミュレーション」</t>
  </si>
  <si>
    <t/>
  </si>
  <si>
    <t>材料名</t>
  </si>
  <si>
    <t xml:space="preserve">    配合　（％）</t>
  </si>
  <si>
    <t>製品ｺｽﾄ</t>
  </si>
  <si>
    <t>　　差</t>
  </si>
  <si>
    <t xml:space="preserve">  合計</t>
  </si>
  <si>
    <t>　　合計</t>
  </si>
  <si>
    <t>球状化</t>
  </si>
  <si>
    <t>球状化剤</t>
  </si>
  <si>
    <t>戻り材控除前の主原料費合計　＝</t>
  </si>
  <si>
    <t>　処理</t>
  </si>
  <si>
    <t>総  合  計</t>
  </si>
  <si>
    <t>　　次は球化、他をクリックします。</t>
  </si>
  <si>
    <t>戻り材控除　　(\/t)</t>
  </si>
  <si>
    <t>「コスト差確認窓」</t>
  </si>
  <si>
    <t>１，各原材料の溶湯原価・・・各原材料の単価×各原材料の配合率/100</t>
  </si>
  <si>
    <t>２，主原料合計の製品コスト・・（戻り控除前主原料費合計－戻り控除）÷全原材料配合％の合計×100</t>
  </si>
  <si>
    <t>戻り材控除前の主原料費合計＝主原料の溶湯ｺｽﾄ合計×原単位</t>
  </si>
  <si>
    <t>戻り材控除＝戻り材単価×戻り材原単位×原単位</t>
  </si>
  <si>
    <t>　　　主原料の各材料別製品コスト・・・主原料の製品合計コストを各原材料の溶湯コスト比で案分しています。</t>
  </si>
  <si>
    <t>「黒鉛球状化処理費、その他」</t>
  </si>
  <si>
    <t>　原単位</t>
  </si>
  <si>
    <t xml:space="preserve"> [kg/t-湯]</t>
  </si>
  <si>
    <t xml:space="preserve"> 材料単価</t>
  </si>
  <si>
    <t xml:space="preserve"> 溶湯コスト[\/ton]</t>
  </si>
  <si>
    <t xml:space="preserve"> 製品コスト[\/ton]</t>
  </si>
  <si>
    <t xml:space="preserve"> [\/kg]</t>
  </si>
  <si>
    <t>　　　処理</t>
  </si>
  <si>
    <t>　　計</t>
  </si>
  <si>
    <t>溶解炉</t>
  </si>
  <si>
    <t>築炉費用　￥</t>
  </si>
  <si>
    <t>　耐火物</t>
  </si>
  <si>
    <t>使用回数　ch</t>
  </si>
  <si>
    <t>通銑量　　　ｔ</t>
  </si>
  <si>
    <t>前炉</t>
  </si>
  <si>
    <t>使用回数  ch</t>
  </si>
  <si>
    <t>　砂</t>
  </si>
  <si>
    <t>１枠の砂量　kg</t>
  </si>
  <si>
    <t>１枠の製品入数　ｹ</t>
  </si>
  <si>
    <t xml:space="preserve">  方案歩留まり</t>
  </si>
  <si>
    <t>「重量や単価</t>
  </si>
  <si>
    <t>１枠の鋳湯量kg</t>
  </si>
  <si>
    <t>・・１枠の製品重量と鋳湯量の比で方案歩留まりを算出，</t>
  </si>
  <si>
    <t>にはｳﾞｧｲﾝﾀﾞｰ</t>
  </si>
  <si>
    <t>製品単重　　kg</t>
  </si>
  <si>
    <t xml:space="preserve">  「方案歩留まり設定」より転写</t>
  </si>
  <si>
    <t>その他を含む」</t>
  </si>
  <si>
    <t>新砂補給率　％</t>
  </si>
  <si>
    <t>砂の原単位Kg/ｔ</t>
  </si>
  <si>
    <t>99,10,21修正</t>
  </si>
  <si>
    <t>　中子</t>
  </si>
  <si>
    <t>中子の入数　ｹ/製品</t>
  </si>
  <si>
    <t>不良率を反映</t>
  </si>
  <si>
    <t>中子の単価￥/ｹ</t>
  </si>
  <si>
    <t>　塗型</t>
  </si>
  <si>
    <t>１枠の使用量kg</t>
  </si>
  <si>
    <t>塗型の単価￥/kg</t>
  </si>
  <si>
    <t>kg/ｔ</t>
  </si>
  <si>
    <t>次は電力をクリックします。</t>
  </si>
  <si>
    <t>１，溶湯コスト・・・・各材料単価×各材量の使用原単位</t>
  </si>
  <si>
    <t>２，製品コスト・・・・各材料の溶湯コスト×原単位</t>
  </si>
  <si>
    <t xml:space="preserve">                         「但し、砂と中子は・・・製品トン当たり使用原単位×単価÷(100-不良率）×１００」</t>
  </si>
  <si>
    <t>1-不良率/100</t>
  </si>
  <si>
    <t>電力コスト</t>
  </si>
  <si>
    <t>参考値</t>
  </si>
  <si>
    <t>関西電力の通常料金</t>
  </si>
  <si>
    <t>契約</t>
  </si>
  <si>
    <t>基本電力</t>
  </si>
  <si>
    <t>電力量</t>
  </si>
  <si>
    <t>　　契約電力量（ｋｗ）</t>
  </si>
  <si>
    <t>　力　率</t>
  </si>
  <si>
    <t>基本電力料</t>
  </si>
  <si>
    <t>電力量料金</t>
  </si>
  <si>
    <t>電力量(kw)</t>
  </si>
  <si>
    <t>料金</t>
  </si>
  <si>
    <t>　（％）</t>
  </si>
  <si>
    <t>金（\/kw）</t>
  </si>
  <si>
    <t>　（\/kwh）</t>
  </si>
  <si>
    <t>　[\/kw]</t>
  </si>
  <si>
    <t>[\/kwh]</t>
  </si>
  <si>
    <t>200～499.9</t>
  </si>
  <si>
    <t>500～1500</t>
  </si>
  <si>
    <t>1501～9999.9</t>
  </si>
  <si>
    <t>電力原単位</t>
  </si>
  <si>
    <t xml:space="preserve">  溶解炉</t>
  </si>
  <si>
    <t>10000以上</t>
  </si>
  <si>
    <t>[kwh/t・湯]</t>
  </si>
  <si>
    <t>　前　炉</t>
  </si>
  <si>
    <t xml:space="preserve"> 合計</t>
  </si>
  <si>
    <t>溶湯コスト(\/tー湯）</t>
  </si>
  <si>
    <t>on）</t>
  </si>
  <si>
    <t>製品コスト(\/ｔｏｎ）</t>
  </si>
  <si>
    <t>月間支払い電力料金</t>
  </si>
  <si>
    <t xml:space="preserve">      差</t>
  </si>
  <si>
    <t>　　基本電力料金(\/月）</t>
  </si>
  <si>
    <t>　　使用電力料金（\/月）</t>
  </si>
  <si>
    <t>　　　　合　計</t>
  </si>
  <si>
    <t>次は労務費をクリックします。</t>
  </si>
  <si>
    <t>平均電力料金</t>
  </si>
  <si>
    <t>　(\/kwh）</t>
  </si>
  <si>
    <t>ここで電力料金表は関西電力の通常料金を示していますが、シュミレーションに当たっては自社で契約された料金でインプットします。</t>
  </si>
  <si>
    <t>　　　「基本電力料金は全て溶解炉で負担する計算としています。」</t>
  </si>
  <si>
    <t>１，月間の支払い基本電力料金・・・契約電力量×基本電力料金×(1.85-力率/100）</t>
  </si>
  <si>
    <t>２，月間の支払い電力量料金・・・・・月間溶解量×電力原単位合計×電力料金単価</t>
  </si>
  <si>
    <t>３，溶湯コスト・・・・・・・・・・・・・・・・・月間支払い電力料金の合計÷月間溶解量</t>
  </si>
  <si>
    <t>４，製品コスト・・・・・・・・・・・・・・・・・溶湯コスト×原単位</t>
  </si>
  <si>
    <t>工程別人員配置，及び配賦一覧表</t>
  </si>
  <si>
    <t>「定時時間内労務ｺｽﾄ計算」</t>
  </si>
  <si>
    <t>　工程</t>
  </si>
  <si>
    <t>配置人員</t>
  </si>
  <si>
    <t>管理者配賦</t>
  </si>
  <si>
    <t>製造間接配賦</t>
  </si>
  <si>
    <t>　合計</t>
  </si>
  <si>
    <t>作業時間</t>
  </si>
  <si>
    <t>基準時間</t>
  </si>
  <si>
    <t>標準時間</t>
  </si>
  <si>
    <t>労務ｺｽﾄ</t>
  </si>
  <si>
    <t>　溶解</t>
  </si>
  <si>
    <t>　溶解・</t>
  </si>
  <si>
    <t>　注湯</t>
  </si>
  <si>
    <t>　　鋳造</t>
  </si>
  <si>
    <t>　砂処理</t>
  </si>
  <si>
    <t>　造形</t>
  </si>
  <si>
    <t>　セキ折り</t>
  </si>
  <si>
    <t>　管理者他</t>
  </si>
  <si>
    <t>　　小計</t>
  </si>
  <si>
    <t>　仕上げ・</t>
  </si>
  <si>
    <t>　ｼｮｯﾄ・検査</t>
  </si>
  <si>
    <t>　　加工</t>
  </si>
  <si>
    <t>　出荷検査</t>
  </si>
  <si>
    <t>　ﾊﾞﾘ取りﾌﾟﾚｽ</t>
  </si>
  <si>
    <t>　機械加工</t>
  </si>
  <si>
    <t>　その他　雑</t>
  </si>
  <si>
    <t>　製造間接</t>
  </si>
  <si>
    <t>　保全</t>
  </si>
  <si>
    <t>　技術</t>
  </si>
  <si>
    <t>　品質保証</t>
  </si>
  <si>
    <t>　合　　　計</t>
  </si>
  <si>
    <t>　生産効率</t>
  </si>
  <si>
    <t>就労時間=</t>
  </si>
  <si>
    <t>hr/M･人</t>
  </si>
  <si>
    <t>賃率</t>
  </si>
  <si>
    <t>円/hr･人</t>
  </si>
  <si>
    <t>　直接工程の管理者外の人員</t>
  </si>
  <si>
    <t xml:space="preserve"> 溶解鋳造</t>
  </si>
  <si>
    <t>仕上げ加工</t>
  </si>
  <si>
    <t>含管理職</t>
  </si>
  <si>
    <t>「残業労務ｺｽﾄ計算」</t>
  </si>
  <si>
    <t>総合（定時時間内＋残業）</t>
  </si>
  <si>
    <t>「計算するための仮置き」</t>
  </si>
  <si>
    <t>　全残業時間(hr/d･人）</t>
  </si>
  <si>
    <t xml:space="preserve"> 残業賃率</t>
  </si>
  <si>
    <t>　(\/hr･人）</t>
  </si>
  <si>
    <t>修正残業時間(hr/d･人）</t>
  </si>
  <si>
    <t>月間残業時間(hr/月）</t>
  </si>
  <si>
    <t>残業労務費用(\/月）</t>
  </si>
  <si>
    <t>残業労務ｺｽﾄ(\/t･製品）</t>
  </si>
  <si>
    <t xml:space="preserve">  　　　基準時間</t>
  </si>
  <si>
    <t>　　　　標準時間</t>
  </si>
  <si>
    <t>　合計労務ｺｽﾄ(\/t･製品）</t>
  </si>
  <si>
    <t>（－残業を０に修正）</t>
  </si>
  <si>
    <t>　　↑</t>
  </si>
  <si>
    <t>　　　　↑</t>
  </si>
  <si>
    <t>=標準時間＊平均賃率</t>
  </si>
  <si>
    <t>=（定時労働時間＋残業労働時間）／生産量／生産効率*100</t>
  </si>
  <si>
    <t xml:space="preserve">  製品ｺｽﾄ(\/ton）</t>
  </si>
  <si>
    <t>外注加工</t>
  </si>
  <si>
    <t>熱処理費</t>
  </si>
  <si>
    <t>外注加工費　円/kg</t>
  </si>
  <si>
    <t>不良率を加味すること</t>
  </si>
  <si>
    <t>運賃（往復）　円/kg</t>
  </si>
  <si>
    <t>塗装費</t>
  </si>
  <si>
    <t>材料費　　　　円/kg</t>
  </si>
  <si>
    <t>加工単価　　円/分</t>
  </si>
  <si>
    <t>加工時間　　　分</t>
  </si>
  <si>
    <t>研磨</t>
  </si>
  <si>
    <t xml:space="preserve">  製品ｺｽﾄ(\/1個）</t>
  </si>
  <si>
    <t>梱包</t>
  </si>
  <si>
    <t>袋代　　　　　円/袋</t>
  </si>
  <si>
    <t xml:space="preserve">     製品単重　kg</t>
  </si>
  <si>
    <t>入り数</t>
  </si>
  <si>
    <t>作業時間　　　分</t>
  </si>
  <si>
    <t>「賃率の算定方法」</t>
  </si>
  <si>
    <t>素形材年鑑(H1１年発行）より</t>
  </si>
  <si>
    <t>年間売上げ</t>
  </si>
  <si>
    <t>億円／年</t>
  </si>
  <si>
    <t>１，「銑鉄鋳物の原価指標」による</t>
  </si>
  <si>
    <t>　諸経費の割合で算出しています。</t>
  </si>
  <si>
    <t>２，賃率の算定</t>
  </si>
  <si>
    <t xml:space="preserve"> 一人当りの(\/hr）</t>
  </si>
  <si>
    <t xml:space="preserve">    （年間売り上げ）</t>
  </si>
  <si>
    <t>（算定率）</t>
  </si>
  <si>
    <t>　（円／年）</t>
  </si>
  <si>
    <t>　　人件費</t>
  </si>
  <si>
    <t>直接労務費</t>
  </si>
  <si>
    <t>製造人件費＝</t>
  </si>
  <si>
    <t>円　　×</t>
  </si>
  <si>
    <t>＝</t>
  </si>
  <si>
    <t>間接労務費</t>
  </si>
  <si>
    <t>原価償却費＝</t>
  </si>
  <si>
    <t>　　　計</t>
  </si>
  <si>
    <t>製造経費　＝</t>
  </si>
  <si>
    <t xml:space="preserve">    合　計</t>
  </si>
  <si>
    <t xml:space="preserve">    原価消却</t>
  </si>
  <si>
    <t>・・・・・・・・・・・</t>
  </si>
  <si>
    <t xml:space="preserve">  残業賃率（生産効率を加味）</t>
  </si>
  <si>
    <t>　　　　　残業割増し</t>
  </si>
  <si>
    <t>　　経　費</t>
  </si>
  <si>
    <t>直接経費</t>
  </si>
  <si>
    <t>福利賄費</t>
  </si>
  <si>
    <t>賃貸料</t>
  </si>
  <si>
    <t>標準操業度＝</t>
  </si>
  <si>
    <t>定時溶解時間×月間就労日数×就労人員数・・・・・・・・・＝</t>
  </si>
  <si>
    <t xml:space="preserve"> Hr/M</t>
  </si>
  <si>
    <t>保険料</t>
  </si>
  <si>
    <t>修繕料</t>
  </si>
  <si>
    <t>水道光熱費</t>
  </si>
  <si>
    <t>平均賃率\/hr</t>
  </si>
  <si>
    <t>その他</t>
  </si>
  <si>
    <t>定時時間hr/d</t>
  </si>
  <si>
    <t>残業　hr/d</t>
  </si>
  <si>
    <t>就労人員数（直接＋間接）</t>
  </si>
  <si>
    <t>合計時間hr/d</t>
  </si>
  <si>
    <t>　「設定条件」</t>
  </si>
  <si>
    <t>　　　　　単価　(\/t)</t>
  </si>
  <si>
    <t xml:space="preserve">       配合(%)、他</t>
  </si>
  <si>
    <t>製品生産量　(T/M）</t>
  </si>
  <si>
    <t>溶解時間　　（分/ch)</t>
  </si>
  <si>
    <t>片付け時間　（分/ch)</t>
  </si>
  <si>
    <t>計算溶解速度（t/hr)</t>
  </si>
  <si>
    <t>定時溶解時間（hr/d)</t>
  </si>
  <si>
    <t>溶解歩留まり　（％）</t>
  </si>
  <si>
    <t>方案歩留まり　（％）</t>
  </si>
  <si>
    <t>不良率　　　　　（％）</t>
  </si>
  <si>
    <t>生産効率　　　　（％）</t>
  </si>
  <si>
    <t>　　　Ｃ　％</t>
  </si>
  <si>
    <t>製品の目標成分</t>
  </si>
  <si>
    <t>　　　Ｓｉ ％</t>
  </si>
  <si>
    <t>　　　Ｃｕ％</t>
  </si>
  <si>
    <t>電力原単位･合計</t>
  </si>
  <si>
    <t>　(kwh/t･製品）・・・溶解炉＋前炉・・・・・・・・・・・・</t>
  </si>
  <si>
    <t>通過ﾄﾝ数</t>
  </si>
  <si>
    <t>　　「築炉費」</t>
  </si>
  <si>
    <t>｢\/t･･･Kg/t」</t>
  </si>
  <si>
    <t>Kg/t製品</t>
  </si>
  <si>
    <t>｢\/ｹ･･･ｹ/枠」</t>
  </si>
  <si>
    <t>１枠入数</t>
  </si>
  <si>
    <t>Kg/t湯</t>
  </si>
  <si>
    <t>全社員</t>
  </si>
  <si>
    <t>　　　　（人）</t>
  </si>
  <si>
    <t xml:space="preserve">    差異</t>
  </si>
  <si>
    <t>　溶解諸元</t>
  </si>
  <si>
    <t>基準時間　(hr/t･溶湯）</t>
  </si>
  <si>
    <t>標準時間　(hr/ｔ・製品）</t>
  </si>
  <si>
    <t>契約電力量　(KW）</t>
  </si>
  <si>
    <t>電力料金　(\/KWH）</t>
  </si>
  <si>
    <t>　方案歩留りの</t>
  </si>
  <si>
    <t>１枠の製品入り個数　（個）</t>
  </si>
  <si>
    <t>　　算出方法</t>
  </si>
  <si>
    <t>製品の単重　　　　　　(Kg/ｹ）</t>
  </si>
  <si>
    <t>１枠の注湯量　　　　　(Kg/枠）</t>
  </si>
  <si>
    <t>方案歩留り＝製品単重×入り個数÷注湯量×１００</t>
  </si>
  <si>
    <t>　賃率の算出　；</t>
  </si>
  <si>
    <t>「素形材年鑑（平成11年発行）より」</t>
  </si>
  <si>
    <t>「銑鉄鋳物製造業の原価指標」による諸経費の割合</t>
  </si>
  <si>
    <t>　　　A，人件費</t>
  </si>
  <si>
    <t>直接労務費　　　17.5%　　　　　　C，</t>
  </si>
  <si>
    <t>経費　　　直接経費　　　5.8%</t>
  </si>
  <si>
    <t>修繕費　　　　2.3%</t>
  </si>
  <si>
    <t>間接労務費　　　　1.3%</t>
  </si>
  <si>
    <t>　　　　　　福利賄費　　　1.9%</t>
  </si>
  <si>
    <t>水道光熱費　0.9%</t>
  </si>
  <si>
    <t>　　　計  　　　　　18.8%</t>
  </si>
  <si>
    <t>　　　　　　賃貸料　　　　　0.9%</t>
  </si>
  <si>
    <t>その他　　　　7.9%</t>
  </si>
  <si>
    <t>　　　B，　原価償却費・・・・・・・・・ 　　3.4%</t>
  </si>
  <si>
    <t>　　　　　　保険料　　　 　　 0%</t>
  </si>
  <si>
    <t>　　計  　　　19.7%</t>
  </si>
  <si>
    <t>　　賃率＝年間売り上げ金額×上記A,B,C，の比÷年間実働時間÷生産効率・・・・・(\/hr）</t>
  </si>
  <si>
    <t>原価項目</t>
  </si>
  <si>
    <t>ｺｽﾄ比</t>
  </si>
  <si>
    <t>,</t>
  </si>
  <si>
    <t>　\/t・製品</t>
  </si>
  <si>
    <t>　\/1ｹ･製品</t>
  </si>
  <si>
    <t>　(%)</t>
  </si>
  <si>
    <t>　材質　</t>
  </si>
  <si>
    <t>FCD-800</t>
  </si>
  <si>
    <t>　単重（ｋｇ/ｹ）</t>
  </si>
  <si>
    <t>　主原料費</t>
  </si>
  <si>
    <t>原単位</t>
  </si>
  <si>
    <t>　溶</t>
  </si>
  <si>
    <t>　材料</t>
  </si>
  <si>
    <t>　成分調整費</t>
  </si>
  <si>
    <t>方案歩留%</t>
  </si>
  <si>
    <t>　解</t>
  </si>
  <si>
    <t>　球状化費</t>
  </si>
  <si>
    <t>　原</t>
  </si>
  <si>
    <t>　価</t>
  </si>
  <si>
    <t>　溶解電力費</t>
  </si>
  <si>
    <t>　経費</t>
  </si>
  <si>
    <t>　前炉電力費</t>
  </si>
  <si>
    <t>　　〃</t>
  </si>
  <si>
    <t>　耐火物費</t>
  </si>
  <si>
    <t>通貨ﾄﾝ数</t>
  </si>
  <si>
    <t>　溶解労務費</t>
  </si>
  <si>
    <t>　小計</t>
  </si>
  <si>
    <t>　合　　計</t>
  </si>
  <si>
    <t>　kg/枠</t>
  </si>
  <si>
    <t>　鋳</t>
  </si>
  <si>
    <t>　中子＋塗型</t>
  </si>
  <si>
    <t>　\/ケ</t>
  </si>
  <si>
    <t>　造</t>
  </si>
  <si>
    <t>　労務</t>
  </si>
  <si>
    <t>　　経費</t>
  </si>
  <si>
    <t>　砂処理労務経費</t>
  </si>
  <si>
    <t>　造形労務経費</t>
  </si>
  <si>
    <t>　セキ折労務経費</t>
  </si>
  <si>
    <t>　ｼｮｯﾄ労務経費</t>
  </si>
  <si>
    <t>　仕</t>
  </si>
  <si>
    <t>　ﾊﾞﾘ取り労務経費</t>
  </si>
  <si>
    <t>　上</t>
  </si>
  <si>
    <t>　機械加工労務経費</t>
  </si>
  <si>
    <t>　出荷検査労務経費</t>
  </si>
  <si>
    <t>　その他雑役労務経費</t>
  </si>
  <si>
    <t xml:space="preserve">  直接製造原価合計</t>
  </si>
  <si>
    <t>　熱処理</t>
  </si>
  <si>
    <t>　\/kg</t>
  </si>
  <si>
    <t>　外</t>
  </si>
  <si>
    <t>熱処理</t>
  </si>
  <si>
    <t>　運賃他経費</t>
  </si>
  <si>
    <t>　\/kg×2</t>
  </si>
  <si>
    <t>　注</t>
  </si>
  <si>
    <t>　費</t>
  </si>
  <si>
    <t>　塗装材料費</t>
  </si>
  <si>
    <t>塗装</t>
  </si>
  <si>
    <t>　\/分</t>
  </si>
  <si>
    <t>　外注経費</t>
  </si>
  <si>
    <t>　梱包材料</t>
  </si>
  <si>
    <t>　\/袋</t>
  </si>
  <si>
    <t xml:space="preserve">  梱包費</t>
  </si>
  <si>
    <t>　製造原価合計</t>
  </si>
  <si>
    <t>　一般管理，販売費</t>
  </si>
  <si>
    <t>　金型償却費</t>
  </si>
  <si>
    <t>　製品販売価格</t>
  </si>
  <si>
    <t>労務経費合計</t>
  </si>
  <si>
    <t>梱包経費；その他雑役労務経費に含まれている。</t>
  </si>
  <si>
    <t>仕上げ原価；</t>
  </si>
  <si>
    <t>･･・仕上げの標準時間を</t>
  </si>
  <si>
    <t>％とする。</t>
  </si>
  <si>
    <t>管理費　；</t>
  </si>
  <si>
    <t>製造原価の・・・・・・・・・</t>
  </si>
  <si>
    <t>賃　率　＝</t>
  </si>
  <si>
    <t>定時時間内賃率</t>
  </si>
  <si>
    <t>\/H人</t>
  </si>
  <si>
    <t>残業時間賃率</t>
  </si>
  <si>
    <t>平均賃率（定時＋残業）</t>
  </si>
  <si>
    <t>「ｺｽﾄ比較計算式」</t>
  </si>
  <si>
    <t>(1/8)</t>
  </si>
  <si>
    <t>　（本計算式内の数値は全て本ｼｽﾃﾑの計算結果に連動しています。従ってｺｽﾄ表と比較しつつ確認出来ます。）</t>
  </si>
  <si>
    <t>「原単位等の計算」</t>
  </si>
  <si>
    <t>注），計算式の説明で溶解歩留り比等の「比」とは・・・％÷100・・・の意味で使用しています。</t>
  </si>
  <si>
    <t>各計算式の</t>
  </si>
  <si>
    <t>溶解量</t>
  </si>
  <si>
    <t>(所要材料重量）</t>
  </si>
  <si>
    <t>＝製品生産量÷溶解歩留り比　÷方案歩留り比　÷( 1-不良率比）</t>
  </si>
  <si>
    <t>・・・・（所要材料重量）</t>
  </si>
  <si>
    <t>検算</t>
  </si>
  <si>
    <t>÷</t>
  </si>
  <si>
    <t>ton/M</t>
  </si>
  <si>
    <t>原単位　</t>
  </si>
  <si>
    <t>（製品１ｔ当たり溶解量）</t>
  </si>
  <si>
    <t xml:space="preserve"> =溶解量÷製品生産量</t>
  </si>
  <si>
    <t>・・・・・・溶湯ｺｽﾄから製品ｺｽﾄへの換算係数として利用・・・</t>
  </si>
  <si>
    <t>戻り発生量</t>
  </si>
  <si>
    <t>・・・・・・・・・・・・・・・・・・・・・・・・・・・・・</t>
  </si>
  <si>
    <t xml:space="preserve">       　 「方案戻り＋不良品戻り」</t>
  </si>
  <si>
    <t>=((溶解量×溶解歩留まり比×(1-方案歩留まり比)) 　+ 　(溶解量×溶解歩留まり比×方案歩留まり比×不良率比)</t>
  </si>
  <si>
    <t>×</t>
  </si>
  <si>
    <t>×(</t>
  </si>
  <si>
    <t>－</t>
  </si>
  <si>
    <t>)=</t>
  </si>
  <si>
    <t>・・・・・・・・・</t>
  </si>
  <si>
    <t>計</t>
  </si>
  <si>
    <t>戻り原単位　</t>
  </si>
  <si>
    <t>（溶解１ｔ当たりの戻り発生量）</t>
  </si>
  <si>
    <t>＝戻り発生量÷溶解量</t>
  </si>
  <si>
    <t>　 ・・・溶解材料費計算の係数として利用・・・</t>
  </si>
  <si>
    <t>・・・・・・・・・・・・・・・・・・・・・・・・・・・・・・・・・・・・・・・・・・・</t>
  </si>
  <si>
    <t>溶解速度</t>
  </si>
  <si>
    <t>＝1chの溶解量×　60分　÷（溶解時間＋片付け時間）</t>
  </si>
  <si>
    <t>・・・延べ溶解日数に反映・・・</t>
  </si>
  <si>
    <t>÷(</t>
  </si>
  <si>
    <t>＋</t>
  </si>
  <si>
    <t>・・・・・・・・・・・・・・・・・・・・・</t>
  </si>
  <si>
    <t>延べ溶解日数</t>
  </si>
  <si>
    <t>＝月間溶解量÷（定時溶解時間×実質の直数　×溶解速度）</t>
  </si>
  <si>
    <t>・・・標準時間に反映・・・</t>
  </si>
  <si>
    <t>必要残業時間</t>
  </si>
  <si>
    <t>＝（延べ溶解日数－月間就業日数）×日間就労時間÷月間就労日数</t>
  </si>
  <si>
    <t>=(</t>
  </si>
  <si>
    <t>-</t>
  </si>
  <si>
    <t>)×</t>
  </si>
  <si>
    <t>(製品1TON生産当たりの総労働時間)</t>
  </si>
  <si>
    <t>・・・以降の労務経費計算に利用・・・</t>
  </si>
  <si>
    <t>(2/8)</t>
  </si>
  <si>
    <t>「間接部門の人員は現業部門の人員比で現業部門に按分」</t>
  </si>
  <si>
    <t>「各工程の小計のみを下記に計算」</t>
  </si>
  <si>
    <t>＝各配置人員×（１日の稼働時間×月間就労日数＋１日の残業時間×月間就労日数）÷製品生産量÷生産効率比(×負荷率比）</t>
  </si>
  <si>
    <t>(×負荷率比は仕上げのみ）</t>
  </si>
  <si>
    <t>)÷</t>
  </si>
  <si>
    <t>「－残業は０で計算」</t>
  </si>
  <si>
    <t>　＝</t>
  </si>
  <si>
    <t>標準操業度</t>
  </si>
  <si>
    <t>(月間総労働時間)</t>
  </si>
  <si>
    <t>=　定時溶解時間×月間就労日数×全作業人員</t>
  </si>
  <si>
    <t>・・・賃率算定に反映・・・</t>
  </si>
  <si>
    <t>賃　率</t>
  </si>
  <si>
    <t>（労務経費・・・\/Hr･人）</t>
  </si>
  <si>
    <t>(年間売り上げ金額に下記比率を乗じ、時間割り)</t>
  </si>
  <si>
    <t>・・・・・・以降の労務経費計算に利用・・・</t>
  </si>
  <si>
    <t>「下記比率は素形材年鑑（平成11年発行）より」　　「銑鉄鋳物製造業の原価指標」による諸経費の割合を利用している」</t>
  </si>
  <si>
    <t xml:space="preserve">     Ａ，人件費＝直接労務費(17.5%），間接労務費（1.3%），</t>
  </si>
  <si>
    <t xml:space="preserve">     Ｂ，原価償却費＝</t>
  </si>
  <si>
    <t xml:space="preserve">     Ｃ，経費＝直接経費(5.8%)，福利賄費(1.9%)，賃貸料(0.9%)，保険料(0%)，修繕費(2.3%)，水道光熱費(0.9%)，</t>
  </si>
  <si>
    <t xml:space="preserve">     その他(7.9%)，</t>
  </si>
  <si>
    <t xml:space="preserve">    定時時間内賃率</t>
  </si>
  <si>
    <t>年間売り上げ金額×Ａ，Ｂ，Ｃ，÷12ｹ月÷標準操業度</t>
  </si>
  <si>
    <t xml:space="preserve">    残業時間の賃率</t>
  </si>
  <si>
    <t>年間売り上げ金額×Ａ，÷12ｹ月÷標準操業度×残業割り増し比</t>
  </si>
  <si>
    <t>・・・「人件費のみ」</t>
  </si>
  <si>
    <t>　　　　　　億円</t>
  </si>
  <si>
    <t xml:space="preserve">        定時時間賃率</t>
  </si>
  <si>
    <t>=</t>
  </si>
  <si>
    <t xml:space="preserve">        残業時間賃率</t>
  </si>
  <si>
    <t>＝・・・・・・・・・・・・・・・・・</t>
  </si>
  <si>
    <t>　　平均賃率</t>
  </si>
  <si>
    <t>=(定時時間内賃率×１日の稼働時間＋残業賃率×１日の残業時間）÷（１日の稼働時間＋残業時間）</t>
  </si>
  <si>
    <t>)÷(</t>
  </si>
  <si>
    <t>「ｺｽﾄ計算」</t>
  </si>
  <si>
    <t>（本計算式以降では「原価計算表」の上から順番に説明していますので、対比しながらご覧下さい。）</t>
  </si>
  <si>
    <t>(3/8)</t>
  </si>
  <si>
    <t xml:space="preserve">       計算結果</t>
  </si>
  <si>
    <t>（溶解材料費）</t>
  </si>
  <si>
    <t>　戻り材の控除」</t>
  </si>
  <si>
    <t>(銑鉄＠×配合比＋鋼屑＠×配合比＋戻り材＠×配合比)×原単位-(戻り材＠×戻り原単位×原単位)</t>
  </si>
  <si>
    <t>主原料費＝</t>
  </si>
  <si>
    <t>----------------------------------------------------------------------------------------------</t>
  </si>
  <si>
    <t>銑鉄配合比＋鋼屑配合比＋戻り材配合比＋加炭剤配合比＋FeｰSi配合比＋Ｃｕ配合比＋球化剤配合比＋接種剤配合比</t>
  </si>
  <si>
    <t>　　　　　　　　「戻り材の控除」</t>
  </si>
  <si>
    <t xml:space="preserve">                    (</t>
  </si>
  <si>
    <t>）×</t>
  </si>
  <si>
    <t>- (</t>
  </si>
  <si>
    <t>)</t>
  </si>
  <si>
    <t>--------------------------------------------------------------------------------------------------------------------=</t>
  </si>
  <si>
    <t>成分調整＝</t>
  </si>
  <si>
    <t>（加炭材＠×加炭材配合比＋FeｰSi＠×FeｰSi配合比+cu＠×ｃｕ添加比）×原単位</t>
  </si>
  <si>
    <t>　　　　\/t</t>
  </si>
  <si>
    <t>) ×</t>
  </si>
  <si>
    <t>＝・・・・・・・・・・</t>
  </si>
  <si>
    <t>＝・・・・・・・・・・・・・・・・・・・</t>
  </si>
  <si>
    <t>球状化処理</t>
  </si>
  <si>
    <t>=（球状化剤＠×球状化剤添加量＋接種剤＠×接種剤添加量）×原単位</t>
  </si>
  <si>
    <t xml:space="preserve">    　　  \/kg</t>
  </si>
  <si>
    <t xml:space="preserve">     　    kg/t・湯</t>
  </si>
  <si>
    <t xml:space="preserve">    　　　  \/kg</t>
  </si>
  <si>
    <t>＝・・・・・・・・・・・・・・・・・・・・・・・・・・・・・・</t>
  </si>
  <si>
    <t>＝・・・・・・・・・・・・・・・・・・・・・・・・・・・・・・・・・・・・・・・</t>
  </si>
  <si>
    <t xml:space="preserve">  溶解材料原価　小計</t>
  </si>
  <si>
    <t>（溶解経費）</t>
  </si>
  <si>
    <t>(4/8)</t>
  </si>
  <si>
    <t>電力料金</t>
  </si>
  <si>
    <t>　　　　基本電力料金＝</t>
  </si>
  <si>
    <t>＝契約電力量×基本電力料金×（1.85-力率/100）</t>
  </si>
  <si>
    <t>(基本電力料金は100%溶解炉負担とする)</t>
  </si>
  <si>
    <t>) =</t>
  </si>
  <si>
    <t>千円／月</t>
  </si>
  <si>
    <t>　　　　使用電力料金＝</t>
  </si>
  <si>
    <t>月間溶解量×電力原単位×電力量料金</t>
  </si>
  <si>
    <t>・・・・・・・・</t>
  </si>
  <si>
    <t xml:space="preserve">      電力ｺｽﾄ</t>
  </si>
  <si>
    <t>（基本電力料金＋使用電力料金）÷月間溶解量×原単位</t>
  </si>
  <si>
    <t>　　　千円</t>
  </si>
  <si>
    <t>　　　　　t/M</t>
  </si>
  <si>
    <t>・・・・・・・・・・・・・・・・・・・・・・・・・・・・・・・・</t>
  </si>
  <si>
    <t>・・・・・・・・・・・・・・・・・・・・・・・・・・・・・・・・・・・・・・・・・</t>
  </si>
  <si>
    <t>耐火物費</t>
  </si>
  <si>
    <t>築炉費用÷通銑量×原単位</t>
  </si>
  <si>
    <t>計・・・・・・・・・・・・・・・・・・・・・・・・・・・</t>
  </si>
  <si>
    <t>計・・・・・・・・・・・・・・・・・・・・・・・・・・・・・・・・・・・・</t>
  </si>
  <si>
    <t>溶解労務費</t>
  </si>
  <si>
    <t>標準時間×平均賃率</t>
  </si>
  <si>
    <t>・・・・・・・・・・・・・・・・・・・・・・・・・・・・・・・・・・・・・・・・・・・・</t>
  </si>
  <si>
    <t>・・・・・・・・・・・・・・・・・・・・・・・・・・・・・・・・・・・・・・・・・・・・・・・・・・・・・</t>
  </si>
  <si>
    <t xml:space="preserve">  溶解経費原価　小計</t>
  </si>
  <si>
    <t>　溶解原価　　　合計</t>
  </si>
  <si>
    <t>「鋳造原価」</t>
  </si>
  <si>
    <t>(5/8)</t>
  </si>
  <si>
    <t>（材料費）砂</t>
  </si>
  <si>
    <t>＝（１枠の砂の入り量×新砂補給比×1000）÷（製品の単重×枠内製品個数）×砂の単価÷(1-不良率比）</t>
  </si>
  <si>
    <t>)÷（</t>
  </si>
  <si>
    <t>　　　　中子</t>
  </si>
  <si>
    <t>＝（（1000÷製品単重）÷（1-不良率比））×中子入り数×中子の単価</t>
  </si>
  <si>
    <t>=((</t>
  </si>
  <si>
    <t>）)×</t>
  </si>
  <si>
    <t>＝・・・・・・・・・・・・・・・・・・・・</t>
  </si>
  <si>
    <t>＝・・・・・・・・・・・・・・・・・・・・・・・・・・・・・</t>
  </si>
  <si>
    <t>　　　　塗型</t>
  </si>
  <si>
    <t>＝（（1000÷製品単重）÷（1-不良率比））×塗型使用量×塗型の単価</t>
  </si>
  <si>
    <t>　　　　材料費小計</t>
  </si>
  <si>
    <t>（労務経費）</t>
  </si>
  <si>
    <t>・・・・・・・・・・・・・・・・・・・・・・・・・・・・・・</t>
  </si>
  <si>
    <t>小　計</t>
  </si>
  <si>
    <t>「鋳造原価合計」</t>
  </si>
  <si>
    <t>「仕上げ原価」</t>
  </si>
  <si>
    <t>(6/8)</t>
  </si>
  <si>
    <t>合　計</t>
  </si>
  <si>
    <t>・・・・・・・・・・・・・・・・・・・・・・・・・・・・・・・・・・・・・・・・・・・・・・・・・・・・</t>
  </si>
  <si>
    <t>「直接製造原価合計」</t>
  </si>
  <si>
    <t>「外注費」</t>
  </si>
  <si>
    <t>　　　　　　　\/kg・製品</t>
  </si>
  <si>
    <t>　　　　　　　\/kg・製品・往復</t>
  </si>
  <si>
    <t>(7/8)</t>
  </si>
  <si>
    <t>　　　　　　①，</t>
  </si>
  <si>
    <t>＝外注単価×1000＋運賃単価×1000</t>
  </si>
  <si>
    <t>　　\/分</t>
  </si>
  <si>
    <t>　　　　　　②，</t>
  </si>
  <si>
    <t>＝（材料費×製品単重+運賃・経費×作業時間）×1000÷製品単重</t>
  </si>
  <si>
    <t>　)×</t>
  </si>
  <si>
    <t>　　　　　　　\/分</t>
  </si>
  <si>
    <t>　　　　　　③，</t>
  </si>
  <si>
    <t>＝加工単価×加工時間×1000÷製品単重</t>
  </si>
  <si>
    <t>　　　　　　④，</t>
  </si>
  <si>
    <t xml:space="preserve">             外注加工費合計</t>
  </si>
  <si>
    <t>\/袋</t>
  </si>
  <si>
    <t>(8/8)</t>
  </si>
  <si>
    <t>「梱包費」</t>
  </si>
  <si>
    <t>＝梱包材料費÷梱包本数×1000÷製品単重</t>
  </si>
  <si>
    <t>・・・・・・・・・・・・・・・・・・・・・・・・・・・・・・・・・・・・・・・・・・</t>
  </si>
  <si>
    <t>「運賃」</t>
  </si>
  <si>
    <t>＝運賃単価×1000</t>
  </si>
  <si>
    <t>・・・・・・・・・・・・・・・・・・・・・・・・・・・・・・・・・・・・・・・・・・・・・・・・・・・・・・</t>
  </si>
  <si>
    <t>・・・・・・・・・・・・・・・・・・・・・・・・・・・・・・・・・・・・・・・・・・・・・・・・・・・・・・・・・・・・・・・</t>
  </si>
  <si>
    <t>「製造原価合計」</t>
  </si>
  <si>
    <t>＝(製造原価合計の</t>
  </si>
  <si>
    <t>％）</t>
  </si>
  <si>
    <t>＝金型作成費用÷消却製品個数×1000÷製品単重</t>
  </si>
  <si>
    <t>・・・・・・・・・・・・・・・・・・・・・・・・・・・・・・・・・</t>
  </si>
  <si>
    <t>「配合計算」</t>
  </si>
  <si>
    <t>補足　１／２</t>
  </si>
  <si>
    <t>　　　（球状化処理でｱｯﾌﾟするSi％）</t>
  </si>
  <si>
    <t>＝球状化剤添加%×球状化剤Si%比×歩留まり比＋接種剤添加%×接種剤Si%比×歩留まり比</t>
  </si>
  <si>
    <t>（共通）</t>
  </si>
  <si>
    <t>　　（主原料のＣ％）</t>
  </si>
  <si>
    <t>　　　　　＝　（銑鉄配合比×銑鉄Ｃ%＋戻り配合比×戻りＣ%＋鋼屑配合比×鋼屑Ｃ%）×溶解歩留まり比・・・・Ｃuも同じ計算</t>
  </si>
  <si>
    <t>　　（加炭剤の添加％）</t>
  </si>
  <si>
    <t>　　　　　＝（目標Ｃ％－主原料のＣ%）÷加炭剤のＣ%比÷溶解歩留まり比</t>
  </si>
  <si>
    <t xml:space="preserve">     （主原料のＳｉ％）</t>
  </si>
  <si>
    <t>　　　　　　主原料のSi％＝</t>
  </si>
  <si>
    <t>（銑鉄配合比×銑鉄Si%＋戻り配合比×戻りSi%＋鋼屑配合比×鋼屑Si%）×溶解歩留まり比</t>
  </si>
  <si>
    <t xml:space="preserve">     (Ｆｅ-Ｓiの添加％）</t>
  </si>
  <si>
    <t>　　　　　＝（目標Si%-主原料Si%-球状化処理でｱｯﾌﾟするSi%）÷Fe-SiのSi%比÷溶解歩留まり比</t>
  </si>
  <si>
    <t xml:space="preserve">     （主原料のＣｕ％）</t>
  </si>
  <si>
    <t>　　　　　＝　（銑鉄配合比×銑鉄Ｃｕ%＋戻り配合比×戻りＣｕ%＋鋼屑配合比×鋼屑Ｃｕ%）×溶解歩留まり比</t>
  </si>
  <si>
    <t>　　（Ｃｕの添加％）</t>
  </si>
  <si>
    <t>　　　　　＝（目標Ｃｕ％－主原料のＣｕ%）÷添加Ｃｕ%の純度比÷溶解歩留まり比</t>
  </si>
  <si>
    <t>「溶湯の溶解歩留まり」</t>
  </si>
  <si>
    <t>＝100-Ｆｅの酸化減耗%-Ｃ,Ｓｉ,Ｍｎの酸化減耗%</t>
  </si>
  <si>
    <t>補足　２／２</t>
  </si>
  <si>
    <t>　　　　　　　誘導電気炉溶解では装入材料は高温まで大気中でかなりの時間加熱されてから溶解する。その間，材料は空気によって</t>
  </si>
  <si>
    <t>　　　　　　　酸化され，又，表面積の大きい材料ほどその酸化量は大きいと云える。</t>
  </si>
  <si>
    <t>　　　　　　　従って，シュミレーションでは使用する鋼屑の肉厚や酸化深さをインプットすることで，その配合率等から全体の酸化減耗率を</t>
  </si>
  <si>
    <t>　　　　　　　算出し，溶湯の溶解歩留まりを自動的に計算している。　　その計算式を示すと以下の通り。</t>
  </si>
  <si>
    <t>(１),　各材料は溶解するまで大気中加熱により， 表面から</t>
  </si>
  <si>
    <t>ﾐｸﾛﾝの深さまで酸化されるとする。</t>
  </si>
  <si>
    <t>(２),　ＦｅはＦｅＯとして酸化し，その内Ｃ，Ｓｉ，Ｍｎの酸化量の</t>
  </si>
  <si>
    <t>％によってＦｅは還元され再度溶湯に戻るとする。</t>
  </si>
  <si>
    <t>本計算は若干複雑であるため，計算結果のみ下記に示す。</t>
  </si>
  <si>
    <t>本計算での各材料の酸化率は以下の通り</t>
  </si>
  <si>
    <t>　(1)，</t>
  </si>
  <si>
    <t>鋼屑のｻｲｽﾞは100mm×100mm，肉厚が</t>
  </si>
  <si>
    <t>mmとして・・・・・</t>
  </si>
  <si>
    <t>表面積・・・・・</t>
  </si>
  <si>
    <t>酸化％・・・・・</t>
  </si>
  <si>
    <t>　(２)，</t>
  </si>
  <si>
    <t>銑鉄は単重を5Kgとして・・・・・・・・・・・・・・・・・・・・・・・・</t>
  </si>
  <si>
    <t>　(３)，</t>
  </si>
  <si>
    <t>戻り材の表面積は銑鉄の２倍として・・・・・・・・・・・・・・・</t>
  </si>
  <si>
    <t>　　　　　「材料表面の総酸化量」</t>
  </si>
  <si>
    <t>　　　　　　　　　　　　　　＝銑鉄配合比×酸化%＋戻り配合比×酸化%＋鋼屑配合比×酸化%</t>
  </si>
  <si>
    <t>=（</t>
  </si>
  <si>
    <t>)＝</t>
  </si>
  <si>
    <t>%　</t>
  </si>
  <si>
    <t>　　　　　「Ｃ，Ｓｉ，Ｍｎによって還元されるＦｅ％」</t>
  </si>
  <si>
    <t>Ｃ，Ｓｉ，Ｍｎの酸化%＝Σ各材料の配合比×Ｃ%×（1-Ｃ溶解歩留まり比）・・・Ｓｉ，Ｍｎも同じ・・・・・計算式は省略</t>
  </si>
  <si>
    <t>　「Ｃによる還元」</t>
  </si>
  <si>
    <t xml:space="preserve">  Ｃ酸化%</t>
  </si>
  <si>
    <t>Ｆｅ還元Ｃ%</t>
  </si>
  <si>
    <t>(ﾓﾙ比)</t>
  </si>
  <si>
    <t>　　Ｆｅ還元%</t>
  </si>
  <si>
    <t>（ﾓﾙ）</t>
  </si>
  <si>
    <t>　Ｆｅ/Ｃ</t>
  </si>
  <si>
    <t>Ｆｅ:</t>
  </si>
  <si>
    <t>Ｃ :</t>
  </si>
  <si>
    <t>　「Ｓｉによる還元」</t>
  </si>
  <si>
    <t>　Ｓｉ酸化%</t>
  </si>
  <si>
    <t>Ｆｅ還元Ｓｉ%</t>
  </si>
  <si>
    <t>Ｓｉ :</t>
  </si>
  <si>
    <t>　2Ｆｅ/Ｓｉ</t>
  </si>
  <si>
    <t xml:space="preserve">  「Ｍｎによる還元」</t>
  </si>
  <si>
    <t>　Ｍｎ酸化%</t>
  </si>
  <si>
    <t>Ｆｅ還元Ｍｎ%</t>
  </si>
  <si>
    <t>Ｃ，Ｓｉ，Ｍｎ酸化合計</t>
  </si>
  <si>
    <t>　　Ｆｅ還元合計</t>
  </si>
  <si>
    <t>　Ｆｅ/Ｍｎ</t>
  </si>
  <si>
    <t>　　　「溶湯の溶解歩留まり」</t>
  </si>
  <si>
    <t xml:space="preserve"> -　(</t>
  </si>
  <si>
    <t>表面酸化合計</t>
  </si>
  <si>
    <t xml:space="preserve"> -</t>
  </si>
  <si>
    <t xml:space="preserve"> )-</t>
  </si>
  <si>
    <t xml:space="preserve"> -(</t>
  </si>
  <si>
    <t>溶解材料</t>
  </si>
  <si>
    <t>溶解経費</t>
  </si>
  <si>
    <t>鋳造材料</t>
  </si>
  <si>
    <t>鋳造経費</t>
  </si>
  <si>
    <t>仕上げ経費</t>
  </si>
  <si>
    <t>直接製造原価合計</t>
  </si>
  <si>
    <t>外注加工費</t>
  </si>
  <si>
    <t>梱包費</t>
  </si>
  <si>
    <t>運賃</t>
  </si>
  <si>
    <t>製造原価合計</t>
  </si>
  <si>
    <t>一般管理費</t>
  </si>
  <si>
    <t>金型償却費</t>
  </si>
  <si>
    <t>製品販売価格</t>
  </si>
  <si>
    <t>　　差異</t>
  </si>
  <si>
    <t>鋳造労務費</t>
  </si>
  <si>
    <t>【鋳鉄の原価計算】</t>
  </si>
  <si>
    <t>方案歩留り５０％</t>
  </si>
  <si>
    <t>上記表には耐火物浸食量やスラグ発生量等を計算していますが、コスト比較表には</t>
  </si>
  <si>
    <t>反映させていません。（必要であればご利用下さい。</t>
  </si>
  <si>
    <t xml:space="preserve"> </t>
  </si>
  <si>
    <t>注意）、戻り材の単価については、いくらに設定してもコストは変わりません。</t>
  </si>
  <si>
    <t>　　　　（戻り材は控除しているため）</t>
  </si>
  <si>
    <t>仕上げ原価；　この画面で比率を設定します。</t>
  </si>
  <si>
    <t>同上</t>
  </si>
  <si>
    <t>（注意）</t>
  </si>
  <si>
    <t>管理費　；</t>
  </si>
  <si>
    <t>テーマ名；</t>
  </si>
  <si>
    <t>方案歩留り６０％</t>
  </si>
  <si>
    <t>添加(%)</t>
  </si>
  <si>
    <t>Si増加(%)</t>
  </si>
  <si>
    <t>原材料の化学成分（％）</t>
  </si>
  <si>
    <t>「酸化減耗量」</t>
  </si>
  <si>
    <t>熔湯コスト(\/t)</t>
  </si>
  <si>
    <t>製品コスト(\/t)</t>
  </si>
  <si>
    <t>平均賃率</t>
  </si>
  <si>
    <t>原単位，他</t>
  </si>
  <si>
    <t>　注湯労務経費</t>
  </si>
  <si>
    <t>単価(円／t）</t>
  </si>
  <si>
    <t>工賃　　　　　円/分</t>
  </si>
  <si>
    <t>公休出勤</t>
  </si>
  <si>
    <t>　運　　賃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</si>
</sst>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
    <numFmt numFmtId="180" formatCode="0.00000"/>
    <numFmt numFmtId="181" formatCode="#,##0.0"/>
    <numFmt numFmtId="182" formatCode="&quot;\&quot;#,##0"/>
    <numFmt numFmtId="183" formatCode="#,##0.000"/>
    <numFmt numFmtId="184" formatCode="0.00_);[Red]\(0.00\)"/>
  </numFmts>
  <fonts count="30">
    <font>
      <sz val="12"/>
      <name val="ＭＳ Ｐゴシック"/>
      <family val="3"/>
    </font>
    <font>
      <b/>
      <sz val="10"/>
      <name val="Arial"/>
      <family val="2"/>
    </font>
    <font>
      <i/>
      <sz val="10"/>
      <name val="Arial"/>
      <family val="2"/>
    </font>
    <font>
      <b/>
      <i/>
      <sz val="10"/>
      <name val="Arial"/>
      <family val="2"/>
    </font>
    <font>
      <b/>
      <sz val="12"/>
      <color indexed="10"/>
      <name val="ＭＳ Ｐゴシック"/>
      <family val="3"/>
    </font>
    <font>
      <sz val="6"/>
      <name val="ＭＳ Ｐゴシック"/>
      <family val="3"/>
    </font>
    <font>
      <sz val="12"/>
      <color indexed="8"/>
      <name val="ＭＳ Ｐゴシック"/>
      <family val="3"/>
    </font>
    <font>
      <b/>
      <sz val="14"/>
      <color indexed="10"/>
      <name val="ＭＳ Ｐゴシック"/>
      <family val="3"/>
    </font>
    <font>
      <b/>
      <sz val="12"/>
      <name val="ＭＳ Ｐゴシック"/>
      <family val="3"/>
    </font>
    <font>
      <b/>
      <sz val="14"/>
      <name val="ＭＳ Ｐゴシック"/>
      <family val="3"/>
    </font>
    <font>
      <sz val="8"/>
      <color indexed="8"/>
      <name val="ＭＳ Ｐゴシック"/>
      <family val="3"/>
    </font>
    <font>
      <sz val="10"/>
      <name val="ＭＳ Ｐゴシック"/>
      <family val="3"/>
    </font>
    <font>
      <sz val="12"/>
      <color indexed="12"/>
      <name val="ＭＳ Ｐゴシック"/>
      <family val="3"/>
    </font>
    <font>
      <b/>
      <sz val="18"/>
      <name val="ＭＳ Ｐゴシック"/>
      <family val="3"/>
    </font>
    <font>
      <sz val="12"/>
      <color indexed="14"/>
      <name val="ＭＳ Ｐゴシック"/>
      <family val="3"/>
    </font>
    <font>
      <sz val="8"/>
      <name val="ＭＳ Ｐゴシック"/>
      <family val="3"/>
    </font>
    <font>
      <sz val="12"/>
      <color indexed="10"/>
      <name val="ＭＳ Ｐゴシック"/>
      <family val="3"/>
    </font>
    <font>
      <b/>
      <sz val="10"/>
      <name val="ＭＳ Ｐゴシック"/>
      <family val="3"/>
    </font>
    <font>
      <sz val="10"/>
      <color indexed="8"/>
      <name val="ＭＳ Ｐゴシック"/>
      <family val="3"/>
    </font>
    <font>
      <b/>
      <sz val="12"/>
      <color indexed="8"/>
      <name val="ＭＳ Ｐゴシック"/>
      <family val="3"/>
    </font>
    <font>
      <sz val="10"/>
      <color indexed="10"/>
      <name val="ＭＳ Ｐゴシック"/>
      <family val="3"/>
    </font>
    <font>
      <sz val="12"/>
      <color indexed="20"/>
      <name val="ＭＳ Ｐゴシック"/>
      <family val="3"/>
    </font>
    <font>
      <sz val="10"/>
      <color indexed="20"/>
      <name val="ＭＳ Ｐゴシック"/>
      <family val="3"/>
    </font>
    <font>
      <sz val="12"/>
      <color indexed="16"/>
      <name val="ＭＳ Ｐゴシック"/>
      <family val="3"/>
    </font>
    <font>
      <sz val="10"/>
      <color indexed="12"/>
      <name val="ＭＳ Ｐゴシック"/>
      <family val="3"/>
    </font>
    <font>
      <b/>
      <sz val="12"/>
      <color indexed="20"/>
      <name val="ＭＳ Ｐゴシック"/>
      <family val="3"/>
    </font>
    <font>
      <sz val="12"/>
      <color indexed="17"/>
      <name val="ＭＳ Ｐゴシック"/>
      <family val="3"/>
    </font>
    <font>
      <sz val="8"/>
      <color indexed="20"/>
      <name val="ＭＳ Ｐゴシック"/>
      <family val="3"/>
    </font>
    <font>
      <sz val="9"/>
      <name val="ＭＳ Ｐゴシック"/>
      <family val="3"/>
    </font>
    <font>
      <sz val="11"/>
      <name val="ＭＳ Ｐゴシック"/>
      <family val="0"/>
    </font>
  </fonts>
  <fills count="10">
    <fill>
      <patternFill/>
    </fill>
    <fill>
      <patternFill patternType="gray125"/>
    </fill>
    <fill>
      <patternFill patternType="solid">
        <fgColor indexed="15"/>
        <bgColor indexed="64"/>
      </patternFill>
    </fill>
    <fill>
      <patternFill patternType="solid">
        <fgColor indexed="11"/>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14"/>
        <bgColor indexed="64"/>
      </patternFill>
    </fill>
    <fill>
      <patternFill patternType="solid">
        <fgColor indexed="41"/>
        <bgColor indexed="64"/>
      </patternFill>
    </fill>
    <fill>
      <patternFill patternType="solid">
        <fgColor indexed="47"/>
        <bgColor indexed="64"/>
      </patternFill>
    </fill>
  </fills>
  <borders count="46">
    <border>
      <left/>
      <right/>
      <top/>
      <bottom/>
      <diagonal/>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double">
        <color indexed="8"/>
      </left>
      <right>
        <color indexed="63"/>
      </right>
      <top style="double">
        <color indexed="8"/>
      </top>
      <bottom>
        <color indexed="63"/>
      </bottom>
    </border>
    <border>
      <left style="double">
        <color indexed="8"/>
      </left>
      <right>
        <color indexed="63"/>
      </right>
      <top>
        <color indexed="63"/>
      </top>
      <bottom>
        <color indexed="63"/>
      </botto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thin">
        <color indexed="8"/>
      </left>
      <right>
        <color indexed="63"/>
      </right>
      <top style="thick">
        <color indexed="8"/>
      </top>
      <bottom>
        <color indexed="63"/>
      </bottom>
    </border>
    <border>
      <left>
        <color indexed="63"/>
      </left>
      <right>
        <color indexed="63"/>
      </right>
      <top style="double">
        <color indexed="8"/>
      </top>
      <bottom>
        <color indexed="63"/>
      </bottom>
    </border>
    <border>
      <left>
        <color indexed="63"/>
      </left>
      <right>
        <color indexed="63"/>
      </right>
      <top style="thick">
        <color indexed="8"/>
      </top>
      <bottom>
        <color indexed="63"/>
      </bottom>
    </border>
    <border>
      <left style="thick">
        <color indexed="8"/>
      </left>
      <right>
        <color indexed="63"/>
      </right>
      <top style="double">
        <color indexed="8"/>
      </top>
      <bottom>
        <color indexed="63"/>
      </bottom>
    </border>
    <border>
      <left style="thin">
        <color indexed="8"/>
      </left>
      <right>
        <color indexed="63"/>
      </right>
      <top style="double">
        <color indexed="8"/>
      </top>
      <bottom>
        <color indexed="63"/>
      </bottom>
    </border>
    <border>
      <left style="thick">
        <color indexed="8"/>
      </left>
      <right>
        <color indexed="63"/>
      </right>
      <top style="thin">
        <color indexed="8"/>
      </top>
      <bottom>
        <color indexed="63"/>
      </bottom>
    </border>
    <border>
      <left style="double">
        <color indexed="8"/>
      </left>
      <right>
        <color indexed="63"/>
      </right>
      <top style="thick">
        <color indexed="8"/>
      </top>
      <bottom>
        <color indexed="63"/>
      </bottom>
    </border>
    <border>
      <left style="double">
        <color indexed="8"/>
      </left>
      <right>
        <color indexed="63"/>
      </right>
      <top style="thin">
        <color indexed="8"/>
      </top>
      <bottom>
        <color indexed="63"/>
      </bottom>
    </border>
    <border>
      <left style="thin">
        <color indexed="8"/>
      </left>
      <right>
        <color indexed="63"/>
      </right>
      <top style="dotted">
        <color indexed="8"/>
      </top>
      <bottom>
        <color indexed="63"/>
      </bottom>
    </border>
    <border>
      <left style="double">
        <color indexed="8"/>
      </left>
      <right>
        <color indexed="63"/>
      </right>
      <top style="dotted">
        <color indexed="8"/>
      </top>
      <bottom>
        <color indexed="63"/>
      </bottom>
    </border>
    <border>
      <left>
        <color indexed="63"/>
      </left>
      <right>
        <color indexed="63"/>
      </right>
      <top style="dotted">
        <color indexed="8"/>
      </top>
      <bottom>
        <color indexed="63"/>
      </bottom>
    </border>
    <border>
      <left style="dotted">
        <color indexed="8"/>
      </left>
      <right>
        <color indexed="63"/>
      </right>
      <top style="dotted">
        <color indexed="8"/>
      </top>
      <bottom>
        <color indexed="63"/>
      </bottom>
    </border>
    <border>
      <left style="dotted">
        <color indexed="8"/>
      </left>
      <right>
        <color indexed="63"/>
      </right>
      <top>
        <color indexed="63"/>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color indexed="63"/>
      </top>
      <bottom>
        <color indexed="63"/>
      </bottom>
    </border>
    <border>
      <left style="dashed">
        <color indexed="8"/>
      </left>
      <right>
        <color indexed="63"/>
      </right>
      <top style="hair">
        <color indexed="8"/>
      </top>
      <bottom>
        <color indexed="63"/>
      </bottom>
    </border>
    <border>
      <left style="dashed">
        <color indexed="8"/>
      </left>
      <right>
        <color indexed="63"/>
      </right>
      <top>
        <color indexed="63"/>
      </top>
      <bottom>
        <color indexed="63"/>
      </bottom>
    </border>
    <border>
      <left style="hair">
        <color indexed="8"/>
      </left>
      <right>
        <color indexed="63"/>
      </right>
      <top style="double">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ck">
        <color indexed="8"/>
      </left>
      <right>
        <color indexed="63"/>
      </right>
      <top style="thick">
        <color indexed="8"/>
      </top>
      <bottom style="thick">
        <color indexed="8"/>
      </bottom>
    </border>
    <border>
      <left>
        <color indexed="63"/>
      </left>
      <right style="thin">
        <color indexed="8"/>
      </right>
      <top style="thick">
        <color indexed="8"/>
      </top>
      <bottom style="thick">
        <color indexed="8"/>
      </bottom>
    </border>
    <border>
      <left style="thin">
        <color indexed="8"/>
      </left>
      <right>
        <color indexed="63"/>
      </right>
      <top style="thick">
        <color indexed="8"/>
      </top>
      <bottom style="thin">
        <color indexed="8"/>
      </bottom>
    </border>
    <border>
      <left>
        <color indexed="63"/>
      </left>
      <right style="thin">
        <color indexed="8"/>
      </right>
      <top style="thick">
        <color indexed="8"/>
      </top>
      <bottom style="thin">
        <color indexed="8"/>
      </bottom>
    </border>
    <border>
      <left style="double">
        <color indexed="8"/>
      </left>
      <right>
        <color indexed="63"/>
      </right>
      <top style="thick">
        <color indexed="8"/>
      </top>
      <bottom style="thin">
        <color indexed="8"/>
      </bottom>
    </border>
    <border>
      <left>
        <color indexed="63"/>
      </left>
      <right style="double">
        <color indexed="8"/>
      </right>
      <top style="thick">
        <color indexed="8"/>
      </top>
      <bottom style="thin">
        <color indexed="8"/>
      </bottom>
    </border>
    <border>
      <left>
        <color indexed="63"/>
      </left>
      <right style="thick">
        <color indexed="8"/>
      </right>
      <top style="thick">
        <color indexed="8"/>
      </top>
      <bottom style="thick">
        <color indexed="8"/>
      </bottom>
    </border>
    <border>
      <left style="double">
        <color indexed="8"/>
      </left>
      <right>
        <color indexed="63"/>
      </right>
      <top style="thick">
        <color indexed="8"/>
      </top>
      <bottom style="thick">
        <color indexed="8"/>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thick">
        <color indexed="8"/>
      </left>
      <right>
        <color indexed="63"/>
      </right>
      <top style="thin">
        <color indexed="8"/>
      </top>
      <bottom style="thick">
        <color indexed="8"/>
      </bottom>
    </border>
    <border>
      <left>
        <color indexed="63"/>
      </left>
      <right style="thick">
        <color indexed="8"/>
      </right>
      <top style="thin">
        <color indexed="8"/>
      </top>
      <bottom style="thick">
        <color indexed="8"/>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598">
    <xf numFmtId="0" fontId="0" fillId="0" borderId="0" xfId="0" applyAlignment="1">
      <alignment/>
    </xf>
    <xf numFmtId="0" fontId="0" fillId="2" borderId="0" xfId="0" applyNumberFormat="1" applyFont="1" applyFill="1" applyAlignment="1">
      <alignment/>
    </xf>
    <xf numFmtId="0" fontId="0" fillId="2" borderId="0" xfId="0" applyFont="1" applyFill="1" applyAlignment="1">
      <alignment/>
    </xf>
    <xf numFmtId="0" fontId="8" fillId="3" borderId="1" xfId="0" applyNumberFormat="1" applyFont="1" applyFill="1" applyAlignment="1">
      <alignment/>
    </xf>
    <xf numFmtId="0" fontId="0" fillId="3" borderId="2" xfId="0" applyFont="1" applyFill="1" applyAlignment="1">
      <alignment/>
    </xf>
    <xf numFmtId="0" fontId="0" fillId="3" borderId="0" xfId="0" applyFont="1" applyFill="1" applyAlignment="1">
      <alignment/>
    </xf>
    <xf numFmtId="0" fontId="0" fillId="0" borderId="3" xfId="0" applyAlignment="1">
      <alignment/>
    </xf>
    <xf numFmtId="0" fontId="0" fillId="3" borderId="0" xfId="0" applyNumberFormat="1" applyFont="1" applyFill="1" applyAlignment="1">
      <alignment/>
    </xf>
    <xf numFmtId="0" fontId="4" fillId="0" borderId="0" xfId="0" applyNumberFormat="1" applyFont="1" applyAlignment="1">
      <alignment/>
    </xf>
    <xf numFmtId="0" fontId="4" fillId="0" borderId="0" xfId="0" applyFont="1" applyAlignment="1">
      <alignment/>
    </xf>
    <xf numFmtId="0" fontId="9" fillId="4" borderId="0" xfId="0" applyNumberFormat="1" applyFont="1" applyFill="1" applyAlignment="1">
      <alignment/>
    </xf>
    <xf numFmtId="0" fontId="0" fillId="5" borderId="4" xfId="0" applyNumberFormat="1" applyFont="1" applyFill="1" applyAlignment="1">
      <alignment/>
    </xf>
    <xf numFmtId="3" fontId="4" fillId="5" borderId="4" xfId="0" applyNumberFormat="1" applyFont="1" applyFill="1" applyAlignment="1">
      <alignment/>
    </xf>
    <xf numFmtId="0" fontId="0" fillId="0" borderId="5" xfId="0" applyAlignment="1">
      <alignment/>
    </xf>
    <xf numFmtId="0" fontId="0" fillId="2" borderId="6" xfId="0" applyFont="1" applyFill="1" applyAlignment="1">
      <alignment/>
    </xf>
    <xf numFmtId="0" fontId="0" fillId="0" borderId="7" xfId="0" applyAlignment="1">
      <alignment/>
    </xf>
    <xf numFmtId="0" fontId="0" fillId="2" borderId="8" xfId="0" applyNumberFormat="1" applyFont="1" applyFill="1" applyAlignment="1">
      <alignment/>
    </xf>
    <xf numFmtId="0" fontId="0" fillId="2" borderId="6" xfId="0" applyNumberFormat="1" applyFont="1" applyFill="1" applyAlignment="1">
      <alignment/>
    </xf>
    <xf numFmtId="0" fontId="0" fillId="0" borderId="9" xfId="0" applyAlignment="1">
      <alignment/>
    </xf>
    <xf numFmtId="2" fontId="0" fillId="0" borderId="1" xfId="0" applyNumberFormat="1" applyAlignment="1">
      <alignment/>
    </xf>
    <xf numFmtId="2" fontId="6" fillId="4" borderId="1" xfId="0" applyNumberFormat="1" applyFont="1" applyFill="1" applyAlignment="1">
      <alignment/>
    </xf>
    <xf numFmtId="2" fontId="0" fillId="6" borderId="1" xfId="0" applyNumberFormat="1" applyFont="1" applyFill="1" applyAlignment="1">
      <alignment/>
    </xf>
    <xf numFmtId="0" fontId="0" fillId="0" borderId="10" xfId="0" applyAlignment="1">
      <alignment/>
    </xf>
    <xf numFmtId="0" fontId="0" fillId="0" borderId="10" xfId="0" applyNumberFormat="1" applyAlignment="1">
      <alignment/>
    </xf>
    <xf numFmtId="0" fontId="9" fillId="0" borderId="0" xfId="0" applyNumberFormat="1" applyFont="1" applyAlignment="1">
      <alignment/>
    </xf>
    <xf numFmtId="0" fontId="9" fillId="0" borderId="0" xfId="0" applyFont="1" applyAlignment="1">
      <alignment/>
    </xf>
    <xf numFmtId="0" fontId="0" fillId="2" borderId="1" xfId="0" applyNumberFormat="1" applyFont="1" applyFill="1" applyAlignment="1">
      <alignment/>
    </xf>
    <xf numFmtId="0" fontId="0" fillId="3" borderId="1" xfId="0" applyNumberFormat="1" applyFont="1" applyFill="1" applyAlignment="1">
      <alignment/>
    </xf>
    <xf numFmtId="0" fontId="0" fillId="0" borderId="7" xfId="0" applyNumberFormat="1" applyAlignment="1">
      <alignment/>
    </xf>
    <xf numFmtId="0" fontId="0" fillId="2" borderId="1" xfId="0" applyFont="1" applyFill="1" applyAlignment="1">
      <alignment/>
    </xf>
    <xf numFmtId="0" fontId="0" fillId="2" borderId="3" xfId="0" applyFont="1" applyFill="1" applyAlignment="1">
      <alignment/>
    </xf>
    <xf numFmtId="0" fontId="0" fillId="2" borderId="3" xfId="0" applyNumberFormat="1" applyFont="1" applyFill="1" applyAlignment="1">
      <alignment/>
    </xf>
    <xf numFmtId="0" fontId="0" fillId="0" borderId="1" xfId="0" applyNumberFormat="1" applyAlignment="1">
      <alignment/>
    </xf>
    <xf numFmtId="0" fontId="0" fillId="0" borderId="3" xfId="0" applyNumberFormat="1" applyAlignment="1">
      <alignment/>
    </xf>
    <xf numFmtId="0" fontId="0" fillId="0" borderId="2" xfId="0" applyAlignment="1">
      <alignment/>
    </xf>
    <xf numFmtId="0" fontId="0" fillId="2" borderId="10" xfId="0" applyFont="1" applyFill="1" applyAlignment="1">
      <alignment/>
    </xf>
    <xf numFmtId="0" fontId="0" fillId="2" borderId="10" xfId="0" applyNumberFormat="1" applyFont="1" applyFill="1" applyAlignment="1">
      <alignment/>
    </xf>
    <xf numFmtId="0" fontId="0" fillId="0" borderId="7" xfId="0" applyFont="1" applyAlignment="1">
      <alignment/>
    </xf>
    <xf numFmtId="0" fontId="0" fillId="2" borderId="2" xfId="0" applyFont="1" applyFill="1" applyAlignment="1">
      <alignment/>
    </xf>
    <xf numFmtId="0" fontId="11" fillId="0" borderId="1" xfId="0" applyNumberFormat="1" applyFont="1" applyAlignment="1">
      <alignment/>
    </xf>
    <xf numFmtId="0" fontId="11" fillId="0" borderId="2" xfId="0" applyFont="1" applyAlignment="1">
      <alignment/>
    </xf>
    <xf numFmtId="0" fontId="0" fillId="2" borderId="7" xfId="0" applyFont="1" applyFill="1" applyAlignment="1">
      <alignment/>
    </xf>
    <xf numFmtId="0" fontId="0" fillId="2" borderId="1" xfId="0" applyNumberFormat="1" applyFont="1" applyFill="1" applyAlignment="1">
      <alignment horizontal="center"/>
    </xf>
    <xf numFmtId="0" fontId="12" fillId="0" borderId="0" xfId="0" applyFont="1" applyAlignment="1">
      <alignment/>
    </xf>
    <xf numFmtId="0" fontId="0" fillId="3" borderId="6" xfId="0" applyFont="1" applyFill="1" applyAlignment="1">
      <alignment/>
    </xf>
    <xf numFmtId="0" fontId="0" fillId="3" borderId="10" xfId="0" applyNumberFormat="1" applyFont="1" applyFill="1" applyAlignment="1">
      <alignment/>
    </xf>
    <xf numFmtId="177" fontId="0" fillId="6" borderId="1" xfId="0" applyNumberFormat="1" applyFont="1" applyFill="1" applyAlignment="1">
      <alignment/>
    </xf>
    <xf numFmtId="177" fontId="0" fillId="5" borderId="1" xfId="0" applyNumberFormat="1" applyFont="1" applyFill="1" applyAlignment="1">
      <alignment/>
    </xf>
    <xf numFmtId="0" fontId="0" fillId="0" borderId="1" xfId="0" applyAlignment="1">
      <alignment/>
    </xf>
    <xf numFmtId="0" fontId="0" fillId="2" borderId="11" xfId="0" applyFont="1" applyFill="1" applyAlignment="1">
      <alignment/>
    </xf>
    <xf numFmtId="0" fontId="0" fillId="2" borderId="12" xfId="0" applyNumberFormat="1" applyFont="1" applyFill="1" applyAlignment="1">
      <alignment/>
    </xf>
    <xf numFmtId="2" fontId="0" fillId="0" borderId="11" xfId="0" applyNumberFormat="1" applyAlignment="1">
      <alignment/>
    </xf>
    <xf numFmtId="2" fontId="0" fillId="0" borderId="12" xfId="0" applyNumberFormat="1" applyAlignment="1">
      <alignment/>
    </xf>
    <xf numFmtId="177" fontId="0" fillId="0" borderId="12" xfId="0" applyNumberFormat="1" applyAlignment="1">
      <alignment/>
    </xf>
    <xf numFmtId="0" fontId="0" fillId="0" borderId="12" xfId="0" applyNumberFormat="1" applyAlignment="1">
      <alignment/>
    </xf>
    <xf numFmtId="0" fontId="0" fillId="6" borderId="12" xfId="0" applyNumberFormat="1" applyFont="1" applyFill="1" applyAlignment="1">
      <alignment/>
    </xf>
    <xf numFmtId="2" fontId="0" fillId="5" borderId="11" xfId="0" applyNumberFormat="1" applyFont="1" applyFill="1" applyAlignment="1">
      <alignment/>
    </xf>
    <xf numFmtId="2" fontId="0" fillId="6" borderId="12" xfId="0" applyNumberFormat="1" applyFont="1" applyFill="1" applyAlignment="1">
      <alignment/>
    </xf>
    <xf numFmtId="0" fontId="0" fillId="6" borderId="1" xfId="0" applyNumberFormat="1" applyFont="1" applyFill="1" applyAlignment="1">
      <alignment/>
    </xf>
    <xf numFmtId="0" fontId="0" fillId="0" borderId="11" xfId="0" applyNumberFormat="1" applyAlignment="1">
      <alignment/>
    </xf>
    <xf numFmtId="0" fontId="0" fillId="0" borderId="12" xfId="0" applyAlignment="1">
      <alignment/>
    </xf>
    <xf numFmtId="0" fontId="4" fillId="4" borderId="7" xfId="0" applyNumberFormat="1" applyFont="1" applyFill="1" applyAlignment="1">
      <alignment/>
    </xf>
    <xf numFmtId="177" fontId="0" fillId="6" borderId="12" xfId="0" applyNumberFormat="1" applyFont="1" applyFill="1" applyAlignment="1">
      <alignment/>
    </xf>
    <xf numFmtId="0" fontId="0" fillId="0" borderId="13" xfId="0" applyNumberFormat="1" applyAlignment="1">
      <alignment/>
    </xf>
    <xf numFmtId="0" fontId="0" fillId="2" borderId="12" xfId="0" applyNumberFormat="1" applyFont="1" applyFill="1" applyAlignment="1">
      <alignment horizontal="center"/>
    </xf>
    <xf numFmtId="177" fontId="0" fillId="5" borderId="12" xfId="0" applyNumberFormat="1" applyFont="1" applyFill="1" applyAlignment="1">
      <alignment/>
    </xf>
    <xf numFmtId="0" fontId="0" fillId="0" borderId="2" xfId="0" applyNumberFormat="1" applyAlignment="1">
      <alignment/>
    </xf>
    <xf numFmtId="0" fontId="0" fillId="2" borderId="12" xfId="0" applyFont="1" applyFill="1" applyAlignment="1">
      <alignment/>
    </xf>
    <xf numFmtId="2" fontId="0" fillId="2" borderId="12" xfId="0" applyNumberFormat="1" applyFont="1" applyFill="1" applyAlignment="1">
      <alignment/>
    </xf>
    <xf numFmtId="177" fontId="0" fillId="0" borderId="10" xfId="0" applyNumberFormat="1" applyAlignment="1">
      <alignment/>
    </xf>
    <xf numFmtId="0" fontId="0" fillId="0" borderId="6" xfId="0" applyNumberFormat="1" applyAlignment="1">
      <alignment/>
    </xf>
    <xf numFmtId="0" fontId="0" fillId="2" borderId="2" xfId="0" applyNumberFormat="1" applyFont="1" applyFill="1" applyAlignment="1">
      <alignment horizontal="center"/>
    </xf>
    <xf numFmtId="2" fontId="0" fillId="2" borderId="1" xfId="0" applyNumberFormat="1" applyFont="1" applyFill="1" applyAlignment="1">
      <alignment/>
    </xf>
    <xf numFmtId="177" fontId="0" fillId="0" borderId="1" xfId="0" applyNumberFormat="1" applyAlignment="1">
      <alignment/>
    </xf>
    <xf numFmtId="0" fontId="11" fillId="0" borderId="2" xfId="0" applyNumberFormat="1" applyFont="1" applyAlignment="1">
      <alignment/>
    </xf>
    <xf numFmtId="2" fontId="0" fillId="0" borderId="0" xfId="0" applyNumberFormat="1" applyAlignment="1">
      <alignment/>
    </xf>
    <xf numFmtId="0" fontId="0" fillId="2" borderId="2" xfId="0" applyNumberFormat="1" applyFont="1" applyFill="1" applyAlignment="1">
      <alignment/>
    </xf>
    <xf numFmtId="177" fontId="0" fillId="6" borderId="8" xfId="0" applyNumberFormat="1" applyFont="1" applyFill="1" applyAlignment="1">
      <alignment/>
    </xf>
    <xf numFmtId="0" fontId="0" fillId="2" borderId="7" xfId="0" applyNumberFormat="1" applyFont="1" applyFill="1" applyAlignment="1">
      <alignment/>
    </xf>
    <xf numFmtId="177" fontId="0" fillId="5" borderId="8" xfId="0" applyNumberFormat="1" applyFont="1" applyFill="1" applyAlignment="1">
      <alignment/>
    </xf>
    <xf numFmtId="0" fontId="0" fillId="0" borderId="9" xfId="0" applyNumberFormat="1" applyAlignment="1">
      <alignment/>
    </xf>
    <xf numFmtId="0" fontId="4" fillId="0" borderId="10" xfId="0" applyNumberFormat="1" applyFont="1" applyAlignment="1">
      <alignment/>
    </xf>
    <xf numFmtId="0" fontId="4" fillId="0" borderId="10" xfId="0" applyFont="1" applyAlignment="1">
      <alignment/>
    </xf>
    <xf numFmtId="178" fontId="0" fillId="5" borderId="1" xfId="0" applyNumberFormat="1" applyFont="1" applyFill="1" applyAlignment="1">
      <alignment/>
    </xf>
    <xf numFmtId="0" fontId="0" fillId="2" borderId="9" xfId="0" applyFont="1" applyFill="1" applyAlignment="1">
      <alignment/>
    </xf>
    <xf numFmtId="177" fontId="0" fillId="7" borderId="12" xfId="0" applyNumberFormat="1" applyFont="1" applyFill="1" applyAlignment="1">
      <alignment/>
    </xf>
    <xf numFmtId="0" fontId="12" fillId="0" borderId="0" xfId="0" applyNumberFormat="1" applyFont="1" applyAlignment="1">
      <alignment/>
    </xf>
    <xf numFmtId="177" fontId="0" fillId="5" borderId="3" xfId="0" applyNumberFormat="1" applyFont="1" applyFill="1" applyAlignment="1">
      <alignment/>
    </xf>
    <xf numFmtId="0" fontId="0" fillId="0" borderId="0" xfId="0" applyNumberFormat="1" applyFont="1" applyAlignment="1">
      <alignment/>
    </xf>
    <xf numFmtId="0" fontId="13" fillId="0" borderId="0" xfId="0" applyNumberFormat="1" applyFont="1" applyAlignment="1">
      <alignment/>
    </xf>
    <xf numFmtId="0" fontId="8" fillId="0" borderId="0" xfId="0" applyNumberFormat="1" applyFont="1" applyAlignment="1">
      <alignment/>
    </xf>
    <xf numFmtId="0" fontId="11" fillId="5" borderId="3" xfId="0" applyNumberFormat="1" applyFont="1" applyFill="1" applyAlignment="1">
      <alignment/>
    </xf>
    <xf numFmtId="2" fontId="0" fillId="5" borderId="1" xfId="0" applyNumberFormat="1" applyFont="1" applyFill="1" applyAlignment="1">
      <alignment/>
    </xf>
    <xf numFmtId="0" fontId="7" fillId="0" borderId="0" xfId="0" applyNumberFormat="1" applyFont="1" applyAlignment="1">
      <alignment/>
    </xf>
    <xf numFmtId="0" fontId="11" fillId="0" borderId="0" xfId="0" applyNumberFormat="1" applyFont="1" applyAlignment="1">
      <alignment/>
    </xf>
    <xf numFmtId="0" fontId="13" fillId="0" borderId="0" xfId="0" applyFont="1" applyAlignment="1">
      <alignment/>
    </xf>
    <xf numFmtId="0" fontId="8" fillId="0" borderId="0" xfId="0" applyFont="1" applyAlignment="1">
      <alignment/>
    </xf>
    <xf numFmtId="0" fontId="11" fillId="2" borderId="8" xfId="0" applyNumberFormat="1" applyFont="1" applyFill="1" applyAlignment="1">
      <alignment/>
    </xf>
    <xf numFmtId="0" fontId="0" fillId="5" borderId="1" xfId="0" applyNumberFormat="1" applyFont="1" applyFill="1" applyAlignment="1">
      <alignment/>
    </xf>
    <xf numFmtId="0" fontId="0" fillId="5" borderId="1" xfId="0" applyFont="1" applyFill="1" applyAlignment="1">
      <alignment/>
    </xf>
    <xf numFmtId="0" fontId="0" fillId="0" borderId="13" xfId="0" applyAlignment="1">
      <alignment/>
    </xf>
    <xf numFmtId="0" fontId="0" fillId="0" borderId="2" xfId="0" applyNumberFormat="1" applyFont="1" applyAlignment="1">
      <alignment/>
    </xf>
    <xf numFmtId="0" fontId="11" fillId="5" borderId="4" xfId="0" applyNumberFormat="1" applyFont="1" applyFill="1" applyAlignment="1">
      <alignment/>
    </xf>
    <xf numFmtId="179" fontId="0" fillId="5" borderId="1" xfId="0" applyNumberFormat="1" applyFont="1" applyFill="1" applyAlignment="1">
      <alignment/>
    </xf>
    <xf numFmtId="0" fontId="0" fillId="0" borderId="7" xfId="0" applyNumberFormat="1" applyFont="1" applyAlignment="1">
      <alignment/>
    </xf>
    <xf numFmtId="180" fontId="0" fillId="5" borderId="1" xfId="0" applyNumberFormat="1" applyFont="1" applyFill="1" applyAlignment="1">
      <alignment/>
    </xf>
    <xf numFmtId="0" fontId="0" fillId="0" borderId="1" xfId="0" applyNumberFormat="1" applyFont="1" applyAlignment="1">
      <alignment/>
    </xf>
    <xf numFmtId="177" fontId="4" fillId="5" borderId="1" xfId="0" applyNumberFormat="1" applyFont="1" applyFill="1" applyAlignment="1">
      <alignment/>
    </xf>
    <xf numFmtId="178" fontId="0" fillId="6" borderId="1" xfId="0" applyNumberFormat="1" applyFont="1" applyFill="1" applyAlignment="1">
      <alignment/>
    </xf>
    <xf numFmtId="0" fontId="14" fillId="0" borderId="0" xfId="0" applyNumberFormat="1" applyFont="1" applyAlignment="1">
      <alignment/>
    </xf>
    <xf numFmtId="0" fontId="14" fillId="0" borderId="0" xfId="0" applyFont="1" applyAlignment="1">
      <alignment/>
    </xf>
    <xf numFmtId="0" fontId="12" fillId="4" borderId="0" xfId="0" applyFont="1" applyFill="1" applyAlignment="1">
      <alignment/>
    </xf>
    <xf numFmtId="0" fontId="12" fillId="4" borderId="0" xfId="0" applyNumberFormat="1" applyFont="1" applyFill="1" applyAlignment="1">
      <alignment/>
    </xf>
    <xf numFmtId="4" fontId="0" fillId="0" borderId="0" xfId="0" applyNumberFormat="1" applyAlignment="1">
      <alignment/>
    </xf>
    <xf numFmtId="0" fontId="0" fillId="6" borderId="8" xfId="0" applyFont="1" applyFill="1" applyAlignment="1">
      <alignment/>
    </xf>
    <xf numFmtId="3" fontId="0" fillId="4" borderId="6" xfId="0" applyNumberFormat="1" applyFont="1" applyFill="1" applyAlignment="1">
      <alignment/>
    </xf>
    <xf numFmtId="3" fontId="0" fillId="4" borderId="8" xfId="0" applyNumberFormat="1" applyFont="1" applyFill="1" applyAlignment="1">
      <alignment/>
    </xf>
    <xf numFmtId="0" fontId="0" fillId="0" borderId="6" xfId="0" applyAlignment="1">
      <alignment/>
    </xf>
    <xf numFmtId="0" fontId="0" fillId="2" borderId="9" xfId="0" applyNumberFormat="1" applyFont="1" applyFill="1" applyAlignment="1">
      <alignment/>
    </xf>
    <xf numFmtId="3" fontId="0" fillId="0" borderId="11" xfId="0" applyNumberFormat="1" applyAlignment="1">
      <alignment/>
    </xf>
    <xf numFmtId="3" fontId="0" fillId="0" borderId="12" xfId="0" applyNumberFormat="1" applyAlignment="1">
      <alignment/>
    </xf>
    <xf numFmtId="3" fontId="0" fillId="0" borderId="6" xfId="0" applyNumberFormat="1" applyAlignment="1">
      <alignment/>
    </xf>
    <xf numFmtId="3" fontId="0" fillId="0" borderId="7" xfId="0" applyNumberFormat="1" applyAlignment="1">
      <alignment/>
    </xf>
    <xf numFmtId="3" fontId="0" fillId="0" borderId="8" xfId="0" applyNumberFormat="1" applyAlignment="1">
      <alignment/>
    </xf>
    <xf numFmtId="2" fontId="0" fillId="5" borderId="6" xfId="0" applyNumberFormat="1" applyFont="1" applyFill="1" applyAlignment="1">
      <alignment/>
    </xf>
    <xf numFmtId="2" fontId="0" fillId="5" borderId="8" xfId="0" applyNumberFormat="1" applyFont="1" applyFill="1" applyAlignment="1">
      <alignment/>
    </xf>
    <xf numFmtId="3" fontId="0" fillId="5" borderId="8" xfId="0" applyNumberFormat="1" applyFont="1" applyFill="1" applyAlignment="1">
      <alignment/>
    </xf>
    <xf numFmtId="2" fontId="0" fillId="5" borderId="13" xfId="0" applyNumberFormat="1" applyFont="1" applyFill="1" applyAlignment="1">
      <alignment/>
    </xf>
    <xf numFmtId="2" fontId="0" fillId="5" borderId="12" xfId="0" applyNumberFormat="1" applyFont="1" applyFill="1" applyAlignment="1">
      <alignment/>
    </xf>
    <xf numFmtId="0" fontId="11" fillId="0" borderId="7" xfId="0" applyNumberFormat="1" applyFont="1" applyAlignment="1">
      <alignment/>
    </xf>
    <xf numFmtId="3" fontId="0" fillId="5" borderId="4" xfId="0" applyNumberFormat="1" applyFont="1" applyFill="1" applyAlignment="1">
      <alignment/>
    </xf>
    <xf numFmtId="0" fontId="0" fillId="6" borderId="8" xfId="0" applyNumberFormat="1" applyFont="1" applyFill="1" applyAlignment="1">
      <alignment/>
    </xf>
    <xf numFmtId="1" fontId="0" fillId="6" borderId="8" xfId="0" applyNumberFormat="1" applyFont="1" applyFill="1" applyAlignment="1">
      <alignment/>
    </xf>
    <xf numFmtId="1" fontId="0" fillId="6" borderId="1" xfId="0" applyNumberFormat="1" applyFont="1" applyFill="1" applyAlignment="1">
      <alignment/>
    </xf>
    <xf numFmtId="0" fontId="0" fillId="6" borderId="1" xfId="0" applyFont="1" applyFill="1" applyAlignment="1">
      <alignment/>
    </xf>
    <xf numFmtId="1" fontId="0" fillId="6" borderId="12" xfId="0" applyNumberFormat="1" applyFont="1" applyFill="1" applyAlignment="1">
      <alignment/>
    </xf>
    <xf numFmtId="0" fontId="0" fillId="2" borderId="8" xfId="0" applyFont="1" applyFill="1" applyAlignment="1">
      <alignment/>
    </xf>
    <xf numFmtId="0" fontId="0" fillId="6" borderId="12" xfId="0" applyFont="1" applyFill="1" applyAlignment="1">
      <alignment/>
    </xf>
    <xf numFmtId="0" fontId="0" fillId="2" borderId="13" xfId="0" applyFont="1" applyFill="1" applyAlignment="1">
      <alignment/>
    </xf>
    <xf numFmtId="0" fontId="0" fillId="5" borderId="12" xfId="0" applyNumberFormat="1" applyFont="1" applyFill="1" applyAlignment="1">
      <alignment/>
    </xf>
    <xf numFmtId="0" fontId="0" fillId="5" borderId="13" xfId="0" applyFont="1" applyFill="1" applyAlignment="1">
      <alignment/>
    </xf>
    <xf numFmtId="0" fontId="0" fillId="5" borderId="8" xfId="0" applyFont="1" applyFill="1" applyAlignment="1">
      <alignment/>
    </xf>
    <xf numFmtId="0" fontId="0" fillId="5" borderId="12" xfId="0" applyFont="1" applyFill="1" applyAlignment="1">
      <alignment/>
    </xf>
    <xf numFmtId="0" fontId="0" fillId="5" borderId="11" xfId="0" applyFont="1" applyFill="1" applyAlignment="1">
      <alignment/>
    </xf>
    <xf numFmtId="179" fontId="0" fillId="0" borderId="1" xfId="0" applyNumberFormat="1" applyAlignment="1">
      <alignment/>
    </xf>
    <xf numFmtId="0" fontId="15" fillId="2" borderId="10" xfId="0" applyNumberFormat="1" applyFont="1" applyFill="1" applyAlignment="1">
      <alignment/>
    </xf>
    <xf numFmtId="0" fontId="0" fillId="2" borderId="14" xfId="0" applyNumberFormat="1" applyFont="1" applyFill="1" applyAlignment="1">
      <alignment/>
    </xf>
    <xf numFmtId="0" fontId="15" fillId="2" borderId="1" xfId="0" applyNumberFormat="1" applyFont="1" applyFill="1" applyAlignment="1">
      <alignment/>
    </xf>
    <xf numFmtId="0" fontId="15" fillId="2" borderId="8" xfId="0" applyNumberFormat="1" applyFont="1" applyFill="1" applyAlignment="1">
      <alignment/>
    </xf>
    <xf numFmtId="0" fontId="15" fillId="2" borderId="15" xfId="0" applyNumberFormat="1" applyFont="1" applyFill="1" applyAlignment="1">
      <alignment/>
    </xf>
    <xf numFmtId="179" fontId="15" fillId="2" borderId="1" xfId="0" applyNumberFormat="1" applyFont="1" applyFill="1" applyAlignment="1">
      <alignment/>
    </xf>
    <xf numFmtId="178" fontId="0" fillId="5" borderId="8" xfId="0" applyNumberFormat="1" applyFont="1" applyFill="1" applyAlignment="1">
      <alignment/>
    </xf>
    <xf numFmtId="181" fontId="0" fillId="5" borderId="8" xfId="0" applyNumberFormat="1" applyFont="1" applyFill="1" applyAlignment="1">
      <alignment/>
    </xf>
    <xf numFmtId="178" fontId="0" fillId="5" borderId="14" xfId="0" applyNumberFormat="1" applyFont="1" applyFill="1" applyAlignment="1">
      <alignment/>
    </xf>
    <xf numFmtId="179" fontId="0" fillId="5" borderId="14" xfId="0" applyNumberFormat="1" applyFont="1" applyFill="1" applyAlignment="1">
      <alignment/>
    </xf>
    <xf numFmtId="179" fontId="0" fillId="5" borderId="8" xfId="0" applyNumberFormat="1" applyFont="1" applyFill="1" applyAlignment="1">
      <alignment/>
    </xf>
    <xf numFmtId="1" fontId="0" fillId="5" borderId="8" xfId="0" applyNumberFormat="1" applyFont="1" applyFill="1" applyAlignment="1">
      <alignment/>
    </xf>
    <xf numFmtId="181" fontId="0" fillId="5" borderId="14" xfId="0" applyNumberFormat="1" applyFont="1" applyFill="1" applyAlignment="1">
      <alignment/>
    </xf>
    <xf numFmtId="0" fontId="0" fillId="5" borderId="6" xfId="0" applyNumberFormat="1" applyFont="1" applyFill="1" applyAlignment="1">
      <alignment/>
    </xf>
    <xf numFmtId="0" fontId="0" fillId="5" borderId="8" xfId="0" applyNumberFormat="1" applyFont="1" applyFill="1" applyAlignment="1">
      <alignment/>
    </xf>
    <xf numFmtId="181" fontId="0" fillId="5" borderId="13" xfId="0" applyNumberFormat="1" applyFont="1" applyFill="1" applyAlignment="1">
      <alignment/>
    </xf>
    <xf numFmtId="181" fontId="0" fillId="5" borderId="1" xfId="0" applyNumberFormat="1" applyFont="1" applyFill="1" applyAlignment="1">
      <alignment/>
    </xf>
    <xf numFmtId="178" fontId="0" fillId="5" borderId="15" xfId="0" applyNumberFormat="1" applyFont="1" applyFill="1" applyAlignment="1">
      <alignment/>
    </xf>
    <xf numFmtId="179" fontId="0" fillId="5" borderId="15" xfId="0" applyNumberFormat="1" applyFont="1" applyFill="1" applyAlignment="1">
      <alignment/>
    </xf>
    <xf numFmtId="1" fontId="0" fillId="5" borderId="1" xfId="0" applyNumberFormat="1" applyFont="1" applyFill="1" applyAlignment="1">
      <alignment/>
    </xf>
    <xf numFmtId="181" fontId="0" fillId="5" borderId="15" xfId="0" applyNumberFormat="1" applyFont="1" applyFill="1" applyAlignment="1">
      <alignment/>
    </xf>
    <xf numFmtId="0" fontId="0" fillId="5" borderId="13" xfId="0" applyNumberFormat="1" applyFont="1" applyFill="1" applyAlignment="1">
      <alignment/>
    </xf>
    <xf numFmtId="2" fontId="0" fillId="5" borderId="15" xfId="0" applyNumberFormat="1" applyFont="1" applyFill="1" applyAlignment="1">
      <alignment/>
    </xf>
    <xf numFmtId="178" fontId="0" fillId="5" borderId="12" xfId="0" applyNumberFormat="1" applyFont="1" applyFill="1" applyAlignment="1">
      <alignment/>
    </xf>
    <xf numFmtId="181" fontId="0" fillId="5" borderId="12" xfId="0" applyNumberFormat="1" applyFont="1" applyFill="1" applyAlignment="1">
      <alignment/>
    </xf>
    <xf numFmtId="2" fontId="0" fillId="5" borderId="4" xfId="0" applyNumberFormat="1" applyFont="1" applyFill="1" applyAlignment="1">
      <alignment/>
    </xf>
    <xf numFmtId="179" fontId="0" fillId="5" borderId="4" xfId="0" applyNumberFormat="1" applyFont="1" applyFill="1" applyAlignment="1">
      <alignment/>
    </xf>
    <xf numFmtId="179" fontId="0" fillId="5" borderId="12" xfId="0" applyNumberFormat="1" applyFont="1" applyFill="1" applyAlignment="1">
      <alignment/>
    </xf>
    <xf numFmtId="1" fontId="0" fillId="5" borderId="12" xfId="0" applyNumberFormat="1" applyFont="1" applyFill="1" applyAlignment="1">
      <alignment/>
    </xf>
    <xf numFmtId="178" fontId="0" fillId="5" borderId="4" xfId="0" applyNumberFormat="1" applyFont="1" applyFill="1" applyAlignment="1">
      <alignment/>
    </xf>
    <xf numFmtId="181" fontId="0" fillId="5" borderId="4" xfId="0" applyNumberFormat="1" applyFont="1" applyFill="1" applyAlignment="1">
      <alignment/>
    </xf>
    <xf numFmtId="181" fontId="0" fillId="5" borderId="11" xfId="0" applyNumberFormat="1" applyFont="1" applyFill="1" applyAlignment="1">
      <alignment/>
    </xf>
    <xf numFmtId="0" fontId="0" fillId="5" borderId="11" xfId="0" applyNumberFormat="1" applyFont="1" applyFill="1" applyAlignment="1">
      <alignment/>
    </xf>
    <xf numFmtId="0" fontId="0" fillId="5" borderId="15" xfId="0" applyFont="1" applyFill="1" applyAlignment="1">
      <alignment/>
    </xf>
    <xf numFmtId="0" fontId="0" fillId="5" borderId="14" xfId="0" applyFont="1" applyFill="1" applyAlignment="1">
      <alignment/>
    </xf>
    <xf numFmtId="2" fontId="0" fillId="2" borderId="7" xfId="0" applyNumberFormat="1" applyFont="1" applyFill="1" applyAlignment="1">
      <alignment/>
    </xf>
    <xf numFmtId="0" fontId="0" fillId="5" borderId="4" xfId="0" applyFont="1" applyFill="1" applyAlignment="1">
      <alignment/>
    </xf>
    <xf numFmtId="1" fontId="0" fillId="5" borderId="14" xfId="0" applyNumberFormat="1" applyFont="1" applyFill="1" applyAlignment="1">
      <alignment/>
    </xf>
    <xf numFmtId="1" fontId="0" fillId="5" borderId="15" xfId="0" applyNumberFormat="1" applyFont="1" applyFill="1" applyAlignment="1">
      <alignment/>
    </xf>
    <xf numFmtId="1" fontId="0" fillId="5" borderId="4" xfId="0" applyNumberFormat="1" applyFont="1" applyFill="1" applyAlignment="1">
      <alignment/>
    </xf>
    <xf numFmtId="0" fontId="0" fillId="4" borderId="10" xfId="0" applyFont="1" applyFill="1" applyAlignment="1">
      <alignment/>
    </xf>
    <xf numFmtId="0" fontId="0" fillId="4" borderId="10" xfId="0" applyNumberFormat="1" applyFont="1" applyFill="1" applyAlignment="1">
      <alignment/>
    </xf>
    <xf numFmtId="0" fontId="0" fillId="5" borderId="14" xfId="0" applyNumberFormat="1" applyFont="1" applyFill="1" applyAlignment="1">
      <alignment/>
    </xf>
    <xf numFmtId="0" fontId="0" fillId="5" borderId="15" xfId="0" applyNumberFormat="1" applyFont="1" applyFill="1" applyAlignment="1">
      <alignment/>
    </xf>
    <xf numFmtId="0" fontId="0" fillId="4" borderId="0" xfId="0" applyFont="1" applyFill="1" applyAlignment="1">
      <alignment/>
    </xf>
    <xf numFmtId="0" fontId="8" fillId="4" borderId="0" xfId="0" applyNumberFormat="1" applyFont="1" applyFill="1" applyAlignment="1">
      <alignment/>
    </xf>
    <xf numFmtId="0" fontId="8" fillId="4" borderId="0" xfId="0" applyFont="1" applyFill="1" applyAlignment="1">
      <alignment/>
    </xf>
    <xf numFmtId="57" fontId="0" fillId="4" borderId="0" xfId="0" applyNumberFormat="1" applyFont="1" applyFill="1" applyAlignment="1">
      <alignment/>
    </xf>
    <xf numFmtId="0" fontId="0" fillId="4" borderId="6" xfId="0" applyFont="1" applyFill="1" applyAlignment="1">
      <alignment/>
    </xf>
    <xf numFmtId="0" fontId="0" fillId="4" borderId="6" xfId="0" applyNumberFormat="1" applyFont="1" applyFill="1" applyAlignment="1">
      <alignment/>
    </xf>
    <xf numFmtId="0" fontId="0" fillId="4" borderId="7" xfId="0" applyFont="1" applyFill="1" applyAlignment="1">
      <alignment/>
    </xf>
    <xf numFmtId="0" fontId="11" fillId="4" borderId="13" xfId="0" applyNumberFormat="1" applyFont="1" applyFill="1" applyAlignment="1">
      <alignment/>
    </xf>
    <xf numFmtId="0" fontId="11" fillId="4" borderId="1" xfId="0" applyNumberFormat="1" applyFont="1" applyFill="1" applyAlignment="1">
      <alignment/>
    </xf>
    <xf numFmtId="0" fontId="11" fillId="4" borderId="6" xfId="0" applyNumberFormat="1" applyFont="1" applyFill="1" applyAlignment="1">
      <alignment/>
    </xf>
    <xf numFmtId="0" fontId="11" fillId="4" borderId="10" xfId="0" applyFont="1" applyFill="1" applyAlignment="1">
      <alignment/>
    </xf>
    <xf numFmtId="0" fontId="0" fillId="4" borderId="8" xfId="0" applyFont="1" applyFill="1" applyAlignment="1">
      <alignment/>
    </xf>
    <xf numFmtId="2" fontId="0" fillId="4" borderId="6" xfId="0" applyNumberFormat="1" applyFont="1" applyFill="1" applyAlignment="1">
      <alignment/>
    </xf>
    <xf numFmtId="2" fontId="0" fillId="4" borderId="8" xfId="0" applyNumberFormat="1" applyFont="1" applyFill="1" applyAlignment="1">
      <alignment/>
    </xf>
    <xf numFmtId="0" fontId="11" fillId="4" borderId="3" xfId="0" applyFont="1" applyFill="1" applyAlignment="1">
      <alignment/>
    </xf>
    <xf numFmtId="0" fontId="0" fillId="4" borderId="13" xfId="0" applyFont="1" applyFill="1" applyAlignment="1">
      <alignment/>
    </xf>
    <xf numFmtId="0" fontId="0" fillId="4" borderId="1" xfId="0" applyNumberFormat="1" applyFont="1" applyFill="1" applyAlignment="1">
      <alignment/>
    </xf>
    <xf numFmtId="2" fontId="0" fillId="4" borderId="13" xfId="0" applyNumberFormat="1" applyFont="1" applyFill="1" applyAlignment="1">
      <alignment/>
    </xf>
    <xf numFmtId="2" fontId="0" fillId="4" borderId="1" xfId="0" applyNumberFormat="1" applyFont="1" applyFill="1" applyAlignment="1">
      <alignment/>
    </xf>
    <xf numFmtId="0" fontId="0" fillId="4" borderId="1" xfId="0" applyFont="1" applyFill="1" applyAlignment="1">
      <alignment/>
    </xf>
    <xf numFmtId="0" fontId="11" fillId="4" borderId="3" xfId="0" applyNumberFormat="1" applyFont="1" applyFill="1" applyAlignment="1">
      <alignment/>
    </xf>
    <xf numFmtId="2" fontId="0" fillId="0" borderId="13" xfId="0" applyNumberFormat="1" applyAlignment="1">
      <alignment/>
    </xf>
    <xf numFmtId="0" fontId="0" fillId="0" borderId="8" xfId="0" applyNumberFormat="1" applyAlignment="1">
      <alignment/>
    </xf>
    <xf numFmtId="0" fontId="0" fillId="0" borderId="8" xfId="0" applyAlignment="1">
      <alignment/>
    </xf>
    <xf numFmtId="2" fontId="0" fillId="0" borderId="6" xfId="0" applyNumberFormat="1" applyAlignment="1">
      <alignment/>
    </xf>
    <xf numFmtId="2" fontId="0" fillId="0" borderId="8" xfId="0" applyNumberFormat="1" applyAlignment="1">
      <alignment/>
    </xf>
    <xf numFmtId="0" fontId="11" fillId="4" borderId="6" xfId="0" applyFont="1" applyFill="1" applyAlignment="1">
      <alignment/>
    </xf>
    <xf numFmtId="0" fontId="11" fillId="4" borderId="8" xfId="0" applyNumberFormat="1" applyFont="1" applyFill="1" applyAlignment="1">
      <alignment/>
    </xf>
    <xf numFmtId="0" fontId="11" fillId="4" borderId="7" xfId="0" applyFont="1" applyFill="1" applyAlignment="1">
      <alignment/>
    </xf>
    <xf numFmtId="3" fontId="0" fillId="4" borderId="13" xfId="0" applyNumberFormat="1" applyFont="1" applyFill="1" applyAlignment="1">
      <alignment/>
    </xf>
    <xf numFmtId="3" fontId="0" fillId="4" borderId="1" xfId="0" applyNumberFormat="1" applyFont="1" applyFill="1" applyAlignment="1">
      <alignment/>
    </xf>
    <xf numFmtId="0" fontId="11" fillId="4" borderId="7" xfId="0" applyNumberFormat="1" applyFont="1" applyFill="1" applyAlignment="1">
      <alignment/>
    </xf>
    <xf numFmtId="0" fontId="0" fillId="4" borderId="8" xfId="0" applyNumberFormat="1" applyFont="1" applyFill="1" applyAlignment="1">
      <alignment/>
    </xf>
    <xf numFmtId="0" fontId="0" fillId="4" borderId="13" xfId="0" applyNumberFormat="1" applyFont="1" applyFill="1" applyAlignment="1">
      <alignment/>
    </xf>
    <xf numFmtId="0" fontId="11" fillId="0" borderId="9" xfId="0" applyNumberFormat="1" applyFont="1" applyAlignment="1">
      <alignment/>
    </xf>
    <xf numFmtId="0" fontId="0" fillId="0" borderId="11" xfId="0" applyAlignment="1">
      <alignment/>
    </xf>
    <xf numFmtId="181" fontId="0" fillId="0" borderId="11" xfId="0" applyNumberFormat="1" applyAlignment="1">
      <alignment/>
    </xf>
    <xf numFmtId="181" fontId="0" fillId="0" borderId="12" xfId="0" applyNumberFormat="1" applyAlignment="1">
      <alignment/>
    </xf>
    <xf numFmtId="0" fontId="0" fillId="4" borderId="0" xfId="0" applyNumberFormat="1" applyFont="1" applyFill="1" applyAlignment="1">
      <alignment/>
    </xf>
    <xf numFmtId="182" fontId="0" fillId="4" borderId="6" xfId="0" applyNumberFormat="1" applyFont="1" applyFill="1" applyAlignment="1">
      <alignment/>
    </xf>
    <xf numFmtId="182" fontId="0" fillId="4" borderId="8" xfId="0" applyNumberFormat="1" applyFont="1" applyFill="1" applyAlignment="1">
      <alignment/>
    </xf>
    <xf numFmtId="182" fontId="0" fillId="0" borderId="13" xfId="0" applyNumberFormat="1" applyAlignment="1">
      <alignment/>
    </xf>
    <xf numFmtId="182" fontId="0" fillId="0" borderId="1" xfId="0" applyNumberFormat="1" applyAlignment="1">
      <alignment/>
    </xf>
    <xf numFmtId="1" fontId="0" fillId="4" borderId="13" xfId="0" applyNumberFormat="1" applyFont="1" applyFill="1" applyAlignment="1">
      <alignment/>
    </xf>
    <xf numFmtId="1" fontId="0" fillId="4" borderId="1" xfId="0" applyNumberFormat="1" applyFont="1" applyFill="1" applyAlignment="1">
      <alignment/>
    </xf>
    <xf numFmtId="0" fontId="11" fillId="4" borderId="10" xfId="0" applyNumberFormat="1" applyFont="1" applyFill="1" applyAlignment="1">
      <alignment/>
    </xf>
    <xf numFmtId="0" fontId="0" fillId="4" borderId="3" xfId="0" applyFont="1" applyFill="1" applyAlignment="1">
      <alignment/>
    </xf>
    <xf numFmtId="0" fontId="11" fillId="0" borderId="10" xfId="0" applyNumberFormat="1" applyFont="1" applyAlignment="1">
      <alignment/>
    </xf>
    <xf numFmtId="0" fontId="11" fillId="0" borderId="6" xfId="0" applyFont="1" applyAlignment="1">
      <alignment/>
    </xf>
    <xf numFmtId="0" fontId="11" fillId="0" borderId="10" xfId="0" applyFont="1" applyAlignment="1">
      <alignment/>
    </xf>
    <xf numFmtId="0" fontId="11" fillId="0" borderId="6" xfId="0" applyNumberFormat="1" applyFont="1" applyAlignment="1">
      <alignment/>
    </xf>
    <xf numFmtId="0" fontId="11" fillId="0" borderId="8" xfId="0" applyNumberFormat="1" applyFont="1" applyAlignment="1">
      <alignment/>
    </xf>
    <xf numFmtId="0" fontId="11" fillId="0" borderId="7" xfId="0" applyFont="1" applyAlignment="1">
      <alignment/>
    </xf>
    <xf numFmtId="177" fontId="0" fillId="4" borderId="13" xfId="0" applyNumberFormat="1" applyFont="1" applyFill="1" applyAlignment="1">
      <alignment/>
    </xf>
    <xf numFmtId="177" fontId="0" fillId="4" borderId="1" xfId="0" applyNumberFormat="1" applyFont="1" applyFill="1" applyAlignment="1">
      <alignment/>
    </xf>
    <xf numFmtId="178" fontId="0" fillId="4" borderId="1" xfId="0" applyNumberFormat="1" applyFont="1" applyFill="1" applyAlignment="1">
      <alignment/>
    </xf>
    <xf numFmtId="0" fontId="11" fillId="0" borderId="3" xfId="0" applyNumberFormat="1" applyFont="1" applyAlignment="1">
      <alignment/>
    </xf>
    <xf numFmtId="0" fontId="15" fillId="0" borderId="0" xfId="0" applyNumberFormat="1" applyFont="1" applyAlignment="1">
      <alignment/>
    </xf>
    <xf numFmtId="0" fontId="17" fillId="0" borderId="0" xfId="0" applyNumberFormat="1" applyFont="1" applyAlignment="1">
      <alignment/>
    </xf>
    <xf numFmtId="0" fontId="11" fillId="0" borderId="0" xfId="0" applyFont="1" applyAlignment="1">
      <alignment/>
    </xf>
    <xf numFmtId="0" fontId="17" fillId="0" borderId="3" xfId="0" applyNumberFormat="1" applyFont="1" applyAlignment="1">
      <alignment/>
    </xf>
    <xf numFmtId="0" fontId="11" fillId="0" borderId="3" xfId="0" applyFont="1" applyAlignment="1">
      <alignment/>
    </xf>
    <xf numFmtId="57" fontId="0" fillId="0" borderId="0" xfId="0" applyNumberFormat="1" applyAlignment="1">
      <alignment/>
    </xf>
    <xf numFmtId="0" fontId="0" fillId="4" borderId="7" xfId="0" applyNumberFormat="1" applyFont="1" applyFill="1" applyAlignment="1">
      <alignment/>
    </xf>
    <xf numFmtId="0" fontId="15" fillId="0" borderId="1" xfId="0" applyNumberFormat="1" applyFont="1" applyAlignment="1">
      <alignment/>
    </xf>
    <xf numFmtId="0" fontId="11" fillId="4" borderId="15" xfId="0" applyNumberFormat="1" applyFont="1" applyFill="1" applyAlignment="1">
      <alignment/>
    </xf>
    <xf numFmtId="0" fontId="0" fillId="0" borderId="10" xfId="0" applyNumberFormat="1" applyFont="1" applyAlignment="1">
      <alignment/>
    </xf>
    <xf numFmtId="0" fontId="0" fillId="0" borderId="14" xfId="0" applyAlignment="1">
      <alignment/>
    </xf>
    <xf numFmtId="0" fontId="0" fillId="0" borderId="3" xfId="0" applyNumberFormat="1" applyFont="1" applyAlignment="1">
      <alignment/>
    </xf>
    <xf numFmtId="0" fontId="0" fillId="0" borderId="15" xfId="0" applyAlignment="1">
      <alignment/>
    </xf>
    <xf numFmtId="0" fontId="0" fillId="4" borderId="11" xfId="0" applyFont="1" applyFill="1" applyAlignment="1">
      <alignment/>
    </xf>
    <xf numFmtId="0" fontId="11" fillId="4" borderId="12" xfId="0" applyNumberFormat="1" applyFont="1" applyFill="1" applyAlignment="1">
      <alignment/>
    </xf>
    <xf numFmtId="3" fontId="0" fillId="4" borderId="4" xfId="0" applyNumberFormat="1" applyFont="1" applyFill="1" applyAlignment="1">
      <alignment/>
    </xf>
    <xf numFmtId="3" fontId="0" fillId="4" borderId="12" xfId="0" applyNumberFormat="1" applyFont="1" applyFill="1" applyAlignment="1">
      <alignment/>
    </xf>
    <xf numFmtId="179" fontId="0" fillId="0" borderId="12" xfId="0" applyNumberFormat="1" applyAlignment="1">
      <alignment/>
    </xf>
    <xf numFmtId="0" fontId="11" fillId="4" borderId="16" xfId="0" applyNumberFormat="1" applyFont="1" applyFill="1" applyAlignment="1">
      <alignment/>
    </xf>
    <xf numFmtId="179" fontId="0" fillId="0" borderId="16" xfId="0" applyNumberFormat="1" applyAlignment="1">
      <alignment/>
    </xf>
    <xf numFmtId="3" fontId="0" fillId="4" borderId="17" xfId="0" applyNumberFormat="1" applyFont="1" applyFill="1" applyAlignment="1">
      <alignment/>
    </xf>
    <xf numFmtId="3" fontId="0" fillId="4" borderId="16" xfId="0" applyNumberFormat="1" applyFont="1" applyFill="1" applyAlignment="1">
      <alignment/>
    </xf>
    <xf numFmtId="0" fontId="11" fillId="4" borderId="16" xfId="0" applyFont="1" applyFill="1" applyAlignment="1">
      <alignment/>
    </xf>
    <xf numFmtId="0" fontId="0" fillId="0" borderId="16" xfId="0" applyAlignment="1">
      <alignment/>
    </xf>
    <xf numFmtId="0" fontId="17" fillId="0" borderId="1" xfId="0" applyFont="1" applyAlignment="1">
      <alignment/>
    </xf>
    <xf numFmtId="0" fontId="8" fillId="0" borderId="1" xfId="0" applyFont="1" applyAlignment="1">
      <alignment/>
    </xf>
    <xf numFmtId="3" fontId="8" fillId="0" borderId="15" xfId="0" applyNumberFormat="1" applyFont="1" applyAlignment="1">
      <alignment/>
    </xf>
    <xf numFmtId="3" fontId="8" fillId="0" borderId="1" xfId="0" applyNumberFormat="1" applyFont="1" applyAlignment="1">
      <alignment/>
    </xf>
    <xf numFmtId="3" fontId="0" fillId="4" borderId="15" xfId="0" applyNumberFormat="1" applyFont="1" applyFill="1" applyAlignment="1">
      <alignment/>
    </xf>
    <xf numFmtId="0" fontId="11" fillId="0" borderId="16" xfId="0" applyNumberFormat="1" applyFont="1" applyAlignment="1">
      <alignment/>
    </xf>
    <xf numFmtId="0" fontId="0" fillId="0" borderId="16" xfId="0" applyNumberFormat="1" applyAlignment="1">
      <alignment/>
    </xf>
    <xf numFmtId="0" fontId="18" fillId="4" borderId="16" xfId="0" applyNumberFormat="1" applyFont="1" applyFill="1" applyAlignment="1">
      <alignment/>
    </xf>
    <xf numFmtId="177" fontId="6" fillId="0" borderId="16" xfId="0" applyNumberFormat="1" applyFont="1" applyAlignment="1">
      <alignment/>
    </xf>
    <xf numFmtId="3" fontId="16" fillId="4" borderId="17" xfId="0" applyNumberFormat="1" applyFont="1" applyFill="1" applyAlignment="1">
      <alignment/>
    </xf>
    <xf numFmtId="3" fontId="16" fillId="4" borderId="16" xfId="0" applyNumberFormat="1" applyFont="1" applyFill="1" applyAlignment="1">
      <alignment/>
    </xf>
    <xf numFmtId="0" fontId="8" fillId="0" borderId="3" xfId="0" applyNumberFormat="1" applyFont="1" applyAlignment="1">
      <alignment/>
    </xf>
    <xf numFmtId="0" fontId="8" fillId="0" borderId="9" xfId="0" applyNumberFormat="1" applyFont="1" applyAlignment="1">
      <alignment/>
    </xf>
    <xf numFmtId="0" fontId="8" fillId="0" borderId="12" xfId="0" applyNumberFormat="1" applyFont="1" applyAlignment="1">
      <alignment/>
    </xf>
    <xf numFmtId="3" fontId="8" fillId="0" borderId="4" xfId="0" applyNumberFormat="1" applyFont="1" applyAlignment="1">
      <alignment/>
    </xf>
    <xf numFmtId="3" fontId="8" fillId="0" borderId="12" xfId="0" applyNumberFormat="1" applyFont="1" applyAlignment="1">
      <alignment/>
    </xf>
    <xf numFmtId="0" fontId="11" fillId="0" borderId="12" xfId="0" applyNumberFormat="1" applyFont="1" applyAlignment="1">
      <alignment/>
    </xf>
    <xf numFmtId="3" fontId="0" fillId="0" borderId="4" xfId="0" applyNumberFormat="1" applyAlignment="1">
      <alignment/>
    </xf>
    <xf numFmtId="3" fontId="0" fillId="0" borderId="17" xfId="0" applyNumberFormat="1" applyAlignment="1">
      <alignment/>
    </xf>
    <xf numFmtId="3" fontId="0" fillId="0" borderId="16" xfId="0" applyNumberFormat="1" applyAlignment="1">
      <alignment/>
    </xf>
    <xf numFmtId="0" fontId="8" fillId="0" borderId="1" xfId="0" applyNumberFormat="1" applyFont="1" applyAlignment="1">
      <alignment/>
    </xf>
    <xf numFmtId="0" fontId="18" fillId="0" borderId="1" xfId="0" applyNumberFormat="1" applyFont="1" applyAlignment="1">
      <alignment/>
    </xf>
    <xf numFmtId="177" fontId="6" fillId="0" borderId="1" xfId="0" applyNumberFormat="1" applyFont="1" applyAlignment="1">
      <alignment/>
    </xf>
    <xf numFmtId="3" fontId="16" fillId="0" borderId="15" xfId="0" applyNumberFormat="1" applyFont="1" applyAlignment="1">
      <alignment/>
    </xf>
    <xf numFmtId="3" fontId="16" fillId="0" borderId="1" xfId="0" applyNumberFormat="1" applyFont="1" applyAlignment="1">
      <alignment/>
    </xf>
    <xf numFmtId="0" fontId="18" fillId="0" borderId="16" xfId="0" applyNumberFormat="1" applyFont="1" applyAlignment="1">
      <alignment/>
    </xf>
    <xf numFmtId="3" fontId="16" fillId="0" borderId="17" xfId="0" applyNumberFormat="1" applyFont="1" applyAlignment="1">
      <alignment/>
    </xf>
    <xf numFmtId="3" fontId="16" fillId="0" borderId="16" xfId="0" applyNumberFormat="1" applyFont="1" applyAlignment="1">
      <alignment/>
    </xf>
    <xf numFmtId="0" fontId="19" fillId="0" borderId="3" xfId="0" applyNumberFormat="1" applyFont="1" applyAlignment="1">
      <alignment/>
    </xf>
    <xf numFmtId="0" fontId="19" fillId="0" borderId="1" xfId="0" applyFont="1" applyAlignment="1">
      <alignment/>
    </xf>
    <xf numFmtId="177" fontId="19" fillId="0" borderId="1" xfId="0" applyNumberFormat="1" applyFont="1" applyAlignment="1">
      <alignment/>
    </xf>
    <xf numFmtId="3" fontId="4" fillId="0" borderId="15" xfId="0" applyNumberFormat="1" applyFont="1" applyAlignment="1">
      <alignment/>
    </xf>
    <xf numFmtId="3" fontId="4" fillId="0" borderId="1" xfId="0" applyNumberFormat="1" applyFont="1" applyAlignment="1">
      <alignment/>
    </xf>
    <xf numFmtId="0" fontId="19" fillId="0" borderId="9" xfId="0" applyNumberFormat="1" applyFont="1" applyAlignment="1">
      <alignment/>
    </xf>
    <xf numFmtId="0" fontId="19" fillId="0" borderId="12" xfId="0" applyFont="1" applyAlignment="1">
      <alignment/>
    </xf>
    <xf numFmtId="0" fontId="18" fillId="0" borderId="12" xfId="0" applyNumberFormat="1" applyFont="1" applyAlignment="1">
      <alignment/>
    </xf>
    <xf numFmtId="177" fontId="6" fillId="0" borderId="12" xfId="0" applyNumberFormat="1" applyFont="1" applyAlignment="1">
      <alignment/>
    </xf>
    <xf numFmtId="3" fontId="16" fillId="0" borderId="4" xfId="0" applyNumberFormat="1" applyFont="1" applyAlignment="1">
      <alignment/>
    </xf>
    <xf numFmtId="3" fontId="16" fillId="0" borderId="12" xfId="0" applyNumberFormat="1" applyFont="1" applyAlignment="1">
      <alignment/>
    </xf>
    <xf numFmtId="0" fontId="0" fillId="0" borderId="18" xfId="0" applyAlignment="1">
      <alignment/>
    </xf>
    <xf numFmtId="177" fontId="19" fillId="0" borderId="12" xfId="0" applyNumberFormat="1" applyFont="1" applyAlignment="1">
      <alignment/>
    </xf>
    <xf numFmtId="3" fontId="4" fillId="0" borderId="4" xfId="0" applyNumberFormat="1" applyFont="1" applyAlignment="1">
      <alignment/>
    </xf>
    <xf numFmtId="3" fontId="4" fillId="0" borderId="12" xfId="0" applyNumberFormat="1" applyFont="1" applyAlignment="1">
      <alignment/>
    </xf>
    <xf numFmtId="0" fontId="8" fillId="0" borderId="11" xfId="0" applyNumberFormat="1" applyFont="1" applyAlignment="1">
      <alignment/>
    </xf>
    <xf numFmtId="3" fontId="0" fillId="0" borderId="15" xfId="0" applyNumberFormat="1" applyAlignment="1">
      <alignment/>
    </xf>
    <xf numFmtId="3" fontId="0" fillId="0" borderId="1" xfId="0" applyNumberFormat="1" applyAlignment="1">
      <alignment/>
    </xf>
    <xf numFmtId="1" fontId="0" fillId="0" borderId="1" xfId="0" applyNumberFormat="1" applyAlignment="1">
      <alignment/>
    </xf>
    <xf numFmtId="0" fontId="8" fillId="0" borderId="12" xfId="0" applyFont="1" applyAlignment="1">
      <alignment/>
    </xf>
    <xf numFmtId="0" fontId="8" fillId="0" borderId="13" xfId="0" applyNumberFormat="1" applyFont="1" applyAlignment="1">
      <alignment/>
    </xf>
    <xf numFmtId="0" fontId="8" fillId="0" borderId="3" xfId="0" applyFont="1" applyAlignment="1">
      <alignment/>
    </xf>
    <xf numFmtId="0" fontId="8" fillId="0" borderId="9" xfId="0" applyFont="1" applyAlignment="1">
      <alignment/>
    </xf>
    <xf numFmtId="1" fontId="0" fillId="0" borderId="12" xfId="0" applyNumberFormat="1" applyAlignment="1">
      <alignment/>
    </xf>
    <xf numFmtId="0" fontId="20" fillId="0" borderId="10" xfId="0" applyNumberFormat="1" applyFont="1" applyAlignment="1">
      <alignment/>
    </xf>
    <xf numFmtId="0" fontId="16" fillId="0" borderId="10" xfId="0" applyFont="1" applyAlignment="1">
      <alignment/>
    </xf>
    <xf numFmtId="3" fontId="16" fillId="0" borderId="10" xfId="0" applyNumberFormat="1" applyFont="1" applyAlignment="1">
      <alignment/>
    </xf>
    <xf numFmtId="177" fontId="0" fillId="0" borderId="0" xfId="0" applyNumberFormat="1" applyAlignment="1">
      <alignment/>
    </xf>
    <xf numFmtId="0" fontId="0" fillId="0" borderId="19" xfId="0" applyAlignment="1">
      <alignment/>
    </xf>
    <xf numFmtId="0" fontId="11" fillId="0" borderId="19" xfId="0" applyNumberFormat="1" applyFont="1" applyAlignment="1">
      <alignment/>
    </xf>
    <xf numFmtId="0" fontId="0" fillId="0" borderId="20" xfId="0" applyAlignment="1">
      <alignment/>
    </xf>
    <xf numFmtId="0" fontId="0" fillId="0" borderId="19" xfId="0" applyNumberFormat="1" applyAlignment="1">
      <alignment/>
    </xf>
    <xf numFmtId="179" fontId="0" fillId="0" borderId="19" xfId="0" applyNumberFormat="1" applyAlignment="1">
      <alignment/>
    </xf>
    <xf numFmtId="179" fontId="15" fillId="0" borderId="18" xfId="0" applyNumberFormat="1" applyFont="1" applyAlignment="1">
      <alignment/>
    </xf>
    <xf numFmtId="0" fontId="11" fillId="0" borderId="20" xfId="0" applyNumberFormat="1" applyFont="1" applyAlignment="1">
      <alignment/>
    </xf>
    <xf numFmtId="0" fontId="20" fillId="0" borderId="0" xfId="0" applyNumberFormat="1" applyFont="1" applyAlignment="1">
      <alignment/>
    </xf>
    <xf numFmtId="0" fontId="21" fillId="0" borderId="0" xfId="0" applyNumberFormat="1" applyFont="1" applyAlignment="1">
      <alignment/>
    </xf>
    <xf numFmtId="0" fontId="22" fillId="0" borderId="0" xfId="0" applyNumberFormat="1" applyFont="1" applyAlignment="1">
      <alignment/>
    </xf>
    <xf numFmtId="179" fontId="4" fillId="0" borderId="0" xfId="0" applyNumberFormat="1" applyFont="1" applyAlignment="1">
      <alignment/>
    </xf>
    <xf numFmtId="3" fontId="23" fillId="0" borderId="0" xfId="0" applyNumberFormat="1" applyFont="1" applyAlignment="1">
      <alignment/>
    </xf>
    <xf numFmtId="0" fontId="24" fillId="0" borderId="0" xfId="0" applyNumberFormat="1" applyFont="1" applyAlignment="1">
      <alignment/>
    </xf>
    <xf numFmtId="3" fontId="0" fillId="0" borderId="0" xfId="0" applyNumberFormat="1" applyAlignment="1">
      <alignment/>
    </xf>
    <xf numFmtId="0" fontId="16" fillId="0" borderId="0" xfId="0" applyNumberFormat="1" applyFont="1" applyAlignment="1">
      <alignment/>
    </xf>
    <xf numFmtId="178" fontId="0" fillId="0" borderId="0" xfId="0" applyNumberFormat="1" applyAlignment="1">
      <alignment/>
    </xf>
    <xf numFmtId="3" fontId="16" fillId="0" borderId="0" xfId="0" applyNumberFormat="1" applyFont="1" applyAlignment="1">
      <alignment/>
    </xf>
    <xf numFmtId="0" fontId="19" fillId="0" borderId="0" xfId="0" applyNumberFormat="1" applyFont="1" applyAlignment="1">
      <alignment/>
    </xf>
    <xf numFmtId="0" fontId="6" fillId="0" borderId="0" xfId="0" applyFont="1" applyAlignment="1">
      <alignment/>
    </xf>
    <xf numFmtId="2" fontId="19" fillId="0" borderId="0" xfId="0" applyNumberFormat="1" applyFont="1" applyAlignment="1">
      <alignment/>
    </xf>
    <xf numFmtId="177" fontId="4" fillId="0" borderId="0" xfId="0" applyNumberFormat="1" applyFont="1" applyAlignment="1">
      <alignment/>
    </xf>
    <xf numFmtId="2" fontId="4" fillId="0" borderId="0" xfId="0" applyNumberFormat="1" applyFont="1" applyAlignment="1">
      <alignment/>
    </xf>
    <xf numFmtId="2" fontId="23" fillId="0" borderId="0" xfId="0" applyNumberFormat="1" applyFont="1" applyAlignment="1">
      <alignment/>
    </xf>
    <xf numFmtId="177" fontId="16" fillId="0" borderId="0" xfId="0" applyNumberFormat="1" applyFont="1" applyAlignment="1">
      <alignment/>
    </xf>
    <xf numFmtId="183" fontId="23" fillId="0" borderId="0" xfId="0" applyNumberFormat="1" applyFont="1" applyAlignment="1">
      <alignment/>
    </xf>
    <xf numFmtId="3" fontId="4" fillId="0" borderId="0" xfId="0" applyNumberFormat="1" applyFont="1" applyAlignment="1">
      <alignment/>
    </xf>
    <xf numFmtId="0" fontId="0" fillId="0" borderId="21" xfId="0" applyNumberFormat="1" applyAlignment="1">
      <alignment/>
    </xf>
    <xf numFmtId="0" fontId="0" fillId="0" borderId="22" xfId="0" applyAlignment="1">
      <alignment/>
    </xf>
    <xf numFmtId="0" fontId="0" fillId="0" borderId="23" xfId="0" applyAlignment="1">
      <alignment/>
    </xf>
    <xf numFmtId="0" fontId="15" fillId="0" borderId="24" xfId="0" applyNumberFormat="1" applyFont="1" applyAlignment="1">
      <alignment/>
    </xf>
    <xf numFmtId="0" fontId="15" fillId="0" borderId="21" xfId="0" applyNumberFormat="1" applyFont="1" applyAlignment="1">
      <alignment/>
    </xf>
    <xf numFmtId="0" fontId="0" fillId="0" borderId="25" xfId="0" applyAlignment="1">
      <alignment/>
    </xf>
    <xf numFmtId="0" fontId="0" fillId="0" borderId="24" xfId="0" applyAlignment="1">
      <alignment/>
    </xf>
    <xf numFmtId="0" fontId="0" fillId="0" borderId="21" xfId="0" applyAlignment="1">
      <alignment/>
    </xf>
    <xf numFmtId="0" fontId="0" fillId="0" borderId="23" xfId="0" applyNumberFormat="1" applyAlignment="1">
      <alignment/>
    </xf>
    <xf numFmtId="178" fontId="11" fillId="0" borderId="0" xfId="0" applyNumberFormat="1" applyFont="1" applyAlignment="1">
      <alignment/>
    </xf>
    <xf numFmtId="0" fontId="0" fillId="0" borderId="23" xfId="0" applyNumberFormat="1" applyFont="1" applyAlignment="1">
      <alignment/>
    </xf>
    <xf numFmtId="3" fontId="0" fillId="0" borderId="23" xfId="0" applyNumberFormat="1" applyAlignment="1">
      <alignment/>
    </xf>
    <xf numFmtId="0" fontId="15" fillId="0" borderId="0" xfId="0" applyFont="1" applyAlignment="1">
      <alignment/>
    </xf>
    <xf numFmtId="0" fontId="9" fillId="0" borderId="9" xfId="0" applyNumberFormat="1" applyFont="1" applyAlignment="1">
      <alignment/>
    </xf>
    <xf numFmtId="3" fontId="8" fillId="0" borderId="26" xfId="0" applyNumberFormat="1" applyFont="1" applyAlignment="1">
      <alignment/>
    </xf>
    <xf numFmtId="3" fontId="11" fillId="0" borderId="0" xfId="0" applyNumberFormat="1" applyFont="1" applyAlignment="1">
      <alignment/>
    </xf>
    <xf numFmtId="179" fontId="0" fillId="0" borderId="0" xfId="0" applyNumberFormat="1" applyAlignment="1">
      <alignment/>
    </xf>
    <xf numFmtId="1" fontId="0" fillId="0" borderId="0" xfId="0" applyNumberFormat="1" applyAlignment="1">
      <alignment/>
    </xf>
    <xf numFmtId="3" fontId="0" fillId="0" borderId="0" xfId="0" applyNumberFormat="1" applyFont="1" applyAlignment="1">
      <alignment/>
    </xf>
    <xf numFmtId="0" fontId="0" fillId="0" borderId="26" xfId="0" applyAlignment="1">
      <alignment/>
    </xf>
    <xf numFmtId="3" fontId="0" fillId="0" borderId="21" xfId="0" applyNumberFormat="1" applyAlignment="1">
      <alignment/>
    </xf>
    <xf numFmtId="1" fontId="0" fillId="0" borderId="23" xfId="0" applyNumberFormat="1" applyAlignment="1">
      <alignment/>
    </xf>
    <xf numFmtId="0" fontId="0" fillId="0" borderId="9" xfId="0" applyNumberFormat="1" applyFont="1" applyAlignment="1">
      <alignment/>
    </xf>
    <xf numFmtId="3" fontId="0" fillId="0" borderId="26" xfId="0" applyNumberFormat="1" applyAlignment="1">
      <alignment/>
    </xf>
    <xf numFmtId="181" fontId="11" fillId="0" borderId="0" xfId="0" applyNumberFormat="1" applyFont="1" applyAlignment="1">
      <alignment/>
    </xf>
    <xf numFmtId="3" fontId="8" fillId="0" borderId="21" xfId="0" applyNumberFormat="1" applyFont="1" applyAlignment="1">
      <alignment/>
    </xf>
    <xf numFmtId="3" fontId="8" fillId="0" borderId="23" xfId="0" applyNumberFormat="1" applyFont="1" applyAlignment="1">
      <alignment/>
    </xf>
    <xf numFmtId="0" fontId="21" fillId="0" borderId="0" xfId="0" applyFont="1" applyAlignment="1">
      <alignment/>
    </xf>
    <xf numFmtId="0" fontId="25" fillId="0" borderId="0" xfId="0" applyNumberFormat="1" applyFont="1" applyAlignment="1">
      <alignment/>
    </xf>
    <xf numFmtId="0" fontId="0" fillId="0" borderId="26" xfId="0" applyNumberFormat="1" applyAlignment="1">
      <alignment/>
    </xf>
    <xf numFmtId="2" fontId="8" fillId="0" borderId="0" xfId="0" applyNumberFormat="1" applyFont="1" applyAlignment="1">
      <alignment/>
    </xf>
    <xf numFmtId="2" fontId="21" fillId="0" borderId="0" xfId="0" applyNumberFormat="1" applyFont="1" applyAlignment="1">
      <alignment/>
    </xf>
    <xf numFmtId="2" fontId="0" fillId="0" borderId="0" xfId="0" applyNumberFormat="1" applyFont="1" applyAlignment="1">
      <alignment/>
    </xf>
    <xf numFmtId="177" fontId="21" fillId="0" borderId="0" xfId="0" applyNumberFormat="1" applyFont="1" applyAlignment="1">
      <alignment/>
    </xf>
    <xf numFmtId="0" fontId="26" fillId="0" borderId="0" xfId="0" applyNumberFormat="1" applyFont="1" applyAlignment="1">
      <alignment/>
    </xf>
    <xf numFmtId="177" fontId="12" fillId="0" borderId="0" xfId="0" applyNumberFormat="1" applyFont="1" applyAlignment="1">
      <alignment/>
    </xf>
    <xf numFmtId="0" fontId="27" fillId="0" borderId="0" xfId="0" applyNumberFormat="1" applyFont="1" applyAlignment="1">
      <alignment/>
    </xf>
    <xf numFmtId="0" fontId="15" fillId="0" borderId="15" xfId="0" applyNumberFormat="1" applyFont="1" applyAlignment="1">
      <alignment/>
    </xf>
    <xf numFmtId="3" fontId="11" fillId="0" borderId="1" xfId="0" applyNumberFormat="1" applyFont="1" applyAlignment="1">
      <alignment/>
    </xf>
    <xf numFmtId="3" fontId="11" fillId="0" borderId="15" xfId="0" applyNumberFormat="1" applyFont="1" applyAlignment="1">
      <alignment/>
    </xf>
    <xf numFmtId="179" fontId="11" fillId="0" borderId="1" xfId="0" applyNumberFormat="1" applyFont="1" applyAlignment="1">
      <alignment/>
    </xf>
    <xf numFmtId="0" fontId="0" fillId="8" borderId="0" xfId="0" applyFont="1" applyFill="1" applyAlignment="1">
      <alignment/>
    </xf>
    <xf numFmtId="0" fontId="0" fillId="8" borderId="6" xfId="0" applyFont="1" applyFill="1" applyAlignment="1">
      <alignment/>
    </xf>
    <xf numFmtId="0" fontId="0" fillId="8" borderId="8" xfId="0" applyNumberFormat="1" applyFont="1" applyFill="1" applyAlignment="1">
      <alignment horizontal="center"/>
    </xf>
    <xf numFmtId="0" fontId="10" fillId="8" borderId="6" xfId="0" applyNumberFormat="1" applyFont="1" applyFill="1" applyAlignment="1">
      <alignment/>
    </xf>
    <xf numFmtId="0" fontId="10" fillId="8" borderId="13" xfId="0" applyNumberFormat="1" applyFont="1" applyFill="1" applyAlignment="1">
      <alignment/>
    </xf>
    <xf numFmtId="0" fontId="0" fillId="8" borderId="8" xfId="0" applyNumberFormat="1" applyFont="1" applyFill="1" applyAlignment="1">
      <alignment/>
    </xf>
    <xf numFmtId="0" fontId="0" fillId="8" borderId="6" xfId="0" applyNumberFormat="1" applyFont="1" applyFill="1" applyAlignment="1">
      <alignment/>
    </xf>
    <xf numFmtId="0" fontId="0" fillId="8" borderId="13" xfId="0" applyNumberFormat="1" applyFont="1" applyFill="1" applyAlignment="1">
      <alignment/>
    </xf>
    <xf numFmtId="0" fontId="0" fillId="8" borderId="10" xfId="0" applyFont="1" applyFill="1" applyAlignment="1">
      <alignment/>
    </xf>
    <xf numFmtId="0" fontId="0" fillId="8" borderId="10" xfId="0" applyNumberFormat="1" applyFont="1" applyFill="1" applyAlignment="1">
      <alignment/>
    </xf>
    <xf numFmtId="0" fontId="0" fillId="8" borderId="7" xfId="0" applyFont="1" applyFill="1" applyAlignment="1">
      <alignment/>
    </xf>
    <xf numFmtId="0" fontId="0" fillId="8" borderId="13" xfId="0" applyNumberFormat="1" applyFont="1" applyFill="1" applyAlignment="1">
      <alignment horizontal="center"/>
    </xf>
    <xf numFmtId="0" fontId="0" fillId="8" borderId="1" xfId="0" applyNumberFormat="1" applyFont="1" applyFill="1" applyAlignment="1">
      <alignment horizontal="center"/>
    </xf>
    <xf numFmtId="0" fontId="0" fillId="8" borderId="1" xfId="0" applyNumberFormat="1" applyFont="1" applyFill="1" applyAlignment="1">
      <alignment/>
    </xf>
    <xf numFmtId="0" fontId="0" fillId="8" borderId="11" xfId="0" applyFont="1" applyFill="1" applyAlignment="1">
      <alignment/>
    </xf>
    <xf numFmtId="0" fontId="0" fillId="8" borderId="12" xfId="0" applyNumberFormat="1" applyFont="1" applyFill="1" applyAlignment="1">
      <alignment/>
    </xf>
    <xf numFmtId="0" fontId="8" fillId="8" borderId="7" xfId="0" applyNumberFormat="1" applyFont="1" applyFill="1" applyAlignment="1">
      <alignment/>
    </xf>
    <xf numFmtId="0" fontId="0" fillId="9" borderId="0" xfId="0" applyNumberFormat="1" applyFont="1" applyFill="1" applyAlignment="1">
      <alignment/>
    </xf>
    <xf numFmtId="2" fontId="0" fillId="9" borderId="8" xfId="0" applyNumberFormat="1" applyFont="1" applyFill="1" applyAlignment="1">
      <alignment/>
    </xf>
    <xf numFmtId="2" fontId="0" fillId="9" borderId="1" xfId="0" applyNumberFormat="1" applyFont="1" applyFill="1" applyAlignment="1">
      <alignment/>
    </xf>
    <xf numFmtId="0" fontId="0" fillId="9" borderId="11" xfId="0" applyNumberFormat="1" applyFont="1" applyFill="1" applyAlignment="1">
      <alignment/>
    </xf>
    <xf numFmtId="0" fontId="0" fillId="9" borderId="12" xfId="0" applyNumberFormat="1" applyFont="1" applyFill="1" applyAlignment="1">
      <alignment/>
    </xf>
    <xf numFmtId="0" fontId="0" fillId="9" borderId="13" xfId="0" applyNumberFormat="1" applyFont="1" applyFill="1" applyAlignment="1">
      <alignment/>
    </xf>
    <xf numFmtId="0" fontId="0" fillId="9" borderId="1" xfId="0" applyNumberFormat="1" applyFont="1" applyFill="1" applyAlignment="1">
      <alignment/>
    </xf>
    <xf numFmtId="2" fontId="0" fillId="9" borderId="12" xfId="0" applyNumberFormat="1" applyFont="1" applyFill="1" applyAlignment="1">
      <alignment/>
    </xf>
    <xf numFmtId="2" fontId="0" fillId="9" borderId="11" xfId="0" applyNumberFormat="1" applyFont="1" applyFill="1" applyAlignment="1">
      <alignment/>
    </xf>
    <xf numFmtId="2" fontId="0" fillId="9" borderId="13" xfId="0" applyNumberFormat="1" applyFont="1" applyFill="1" applyAlignment="1">
      <alignment/>
    </xf>
    <xf numFmtId="177" fontId="0" fillId="9" borderId="8" xfId="0" applyNumberFormat="1" applyFont="1" applyFill="1" applyAlignment="1">
      <alignment/>
    </xf>
    <xf numFmtId="177" fontId="0" fillId="9" borderId="1" xfId="0" applyNumberFormat="1" applyFont="1" applyFill="1" applyAlignment="1">
      <alignment/>
    </xf>
    <xf numFmtId="179" fontId="0" fillId="9" borderId="1" xfId="0" applyNumberFormat="1" applyFont="1" applyFill="1" applyAlignment="1">
      <alignment/>
    </xf>
    <xf numFmtId="0" fontId="0" fillId="8" borderId="3" xfId="0" applyNumberFormat="1" applyFont="1" applyFill="1" applyAlignment="1">
      <alignment/>
    </xf>
    <xf numFmtId="0" fontId="0" fillId="8" borderId="7" xfId="0" applyNumberFormat="1" applyFont="1" applyFill="1" applyAlignment="1">
      <alignment/>
    </xf>
    <xf numFmtId="0" fontId="0" fillId="8" borderId="1" xfId="0" applyFont="1" applyFill="1" applyAlignment="1">
      <alignment/>
    </xf>
    <xf numFmtId="0" fontId="11" fillId="8" borderId="8" xfId="0" applyNumberFormat="1" applyFont="1" applyFill="1" applyAlignment="1">
      <alignment/>
    </xf>
    <xf numFmtId="0" fontId="0" fillId="8" borderId="3" xfId="0" applyFont="1" applyFill="1" applyAlignment="1">
      <alignment/>
    </xf>
    <xf numFmtId="0" fontId="0" fillId="8" borderId="2" xfId="0" applyFont="1" applyFill="1" applyAlignment="1">
      <alignment/>
    </xf>
    <xf numFmtId="0" fontId="0" fillId="8" borderId="2" xfId="0" applyNumberFormat="1" applyFont="1" applyFill="1" applyAlignment="1">
      <alignment/>
    </xf>
    <xf numFmtId="0" fontId="4" fillId="8" borderId="1" xfId="0" applyNumberFormat="1" applyFont="1" applyFill="1" applyAlignment="1">
      <alignment/>
    </xf>
    <xf numFmtId="178" fontId="4" fillId="9" borderId="1" xfId="0" applyNumberFormat="1" applyFont="1" applyFill="1" applyAlignment="1">
      <alignment/>
    </xf>
    <xf numFmtId="0" fontId="0" fillId="9" borderId="1" xfId="0" applyFont="1" applyFill="1" applyAlignment="1">
      <alignment/>
    </xf>
    <xf numFmtId="0" fontId="0" fillId="8" borderId="9" xfId="0" applyNumberFormat="1" applyFont="1" applyFill="1" applyAlignment="1">
      <alignment/>
    </xf>
    <xf numFmtId="0" fontId="0" fillId="9" borderId="6" xfId="0" applyFont="1" applyFill="1" applyAlignment="1">
      <alignment/>
    </xf>
    <xf numFmtId="0" fontId="0" fillId="9" borderId="8" xfId="0" applyFont="1" applyFill="1" applyAlignment="1">
      <alignment/>
    </xf>
    <xf numFmtId="0" fontId="0" fillId="9" borderId="11" xfId="0" applyFont="1" applyFill="1" applyAlignment="1">
      <alignment/>
    </xf>
    <xf numFmtId="2" fontId="0" fillId="9" borderId="6" xfId="0" applyNumberFormat="1" applyFont="1" applyFill="1" applyAlignment="1">
      <alignment/>
    </xf>
    <xf numFmtId="3" fontId="0" fillId="9" borderId="6" xfId="0" applyNumberFormat="1" applyFont="1" applyFill="1" applyAlignment="1">
      <alignment/>
    </xf>
    <xf numFmtId="3" fontId="0" fillId="9" borderId="8" xfId="0" applyNumberFormat="1" applyFont="1" applyFill="1" applyAlignment="1">
      <alignment/>
    </xf>
    <xf numFmtId="3" fontId="0" fillId="9" borderId="13" xfId="0" applyNumberFormat="1" applyFont="1" applyFill="1" applyAlignment="1">
      <alignment/>
    </xf>
    <xf numFmtId="3" fontId="0" fillId="9" borderId="1" xfId="0" applyNumberFormat="1" applyFont="1" applyFill="1" applyAlignment="1">
      <alignment/>
    </xf>
    <xf numFmtId="3" fontId="0" fillId="9" borderId="11" xfId="0" applyNumberFormat="1" applyFont="1" applyFill="1" applyAlignment="1">
      <alignment/>
    </xf>
    <xf numFmtId="3" fontId="0" fillId="9" borderId="12" xfId="0" applyNumberFormat="1" applyFont="1" applyFill="1" applyAlignment="1">
      <alignment/>
    </xf>
    <xf numFmtId="0" fontId="0" fillId="9" borderId="6" xfId="0" applyNumberFormat="1" applyFont="1" applyFill="1" applyAlignment="1">
      <alignment/>
    </xf>
    <xf numFmtId="0" fontId="0" fillId="9" borderId="8" xfId="0" applyNumberFormat="1" applyFont="1" applyFill="1" applyAlignment="1">
      <alignment/>
    </xf>
    <xf numFmtId="0" fontId="0" fillId="9" borderId="13" xfId="0" applyFont="1" applyFill="1" applyAlignment="1">
      <alignment/>
    </xf>
    <xf numFmtId="1" fontId="0" fillId="9" borderId="6" xfId="0" applyNumberFormat="1" applyFont="1" applyFill="1" applyAlignment="1">
      <alignment/>
    </xf>
    <xf numFmtId="1" fontId="0" fillId="9" borderId="8" xfId="0" applyNumberFormat="1" applyFont="1" applyFill="1" applyAlignment="1">
      <alignment/>
    </xf>
    <xf numFmtId="1" fontId="0" fillId="9" borderId="13" xfId="0" applyNumberFormat="1" applyFont="1" applyFill="1" applyAlignment="1">
      <alignment/>
    </xf>
    <xf numFmtId="1" fontId="0" fillId="9" borderId="1" xfId="0" applyNumberFormat="1" applyFont="1" applyFill="1" applyAlignment="1">
      <alignment/>
    </xf>
    <xf numFmtId="1" fontId="0" fillId="9" borderId="11" xfId="0" applyNumberFormat="1" applyFont="1" applyFill="1" applyAlignment="1">
      <alignment/>
    </xf>
    <xf numFmtId="1" fontId="0" fillId="9" borderId="12" xfId="0" applyNumberFormat="1" applyFont="1" applyFill="1" applyAlignment="1">
      <alignment/>
    </xf>
    <xf numFmtId="0" fontId="16" fillId="9" borderId="13" xfId="0" applyFont="1" applyFill="1" applyAlignment="1">
      <alignment/>
    </xf>
    <xf numFmtId="0" fontId="16" fillId="9" borderId="1" xfId="0" applyFont="1" applyFill="1" applyAlignment="1">
      <alignment/>
    </xf>
    <xf numFmtId="1" fontId="16" fillId="9" borderId="13" xfId="0" applyNumberFormat="1" applyFont="1" applyFill="1" applyAlignment="1">
      <alignment/>
    </xf>
    <xf numFmtId="1" fontId="16" fillId="9" borderId="1" xfId="0" applyNumberFormat="1" applyFont="1" applyFill="1" applyAlignment="1">
      <alignment/>
    </xf>
    <xf numFmtId="179" fontId="0" fillId="9" borderId="13" xfId="0" applyNumberFormat="1" applyFont="1" applyFill="1" applyAlignment="1">
      <alignment/>
    </xf>
    <xf numFmtId="0" fontId="16" fillId="9" borderId="1" xfId="0" applyNumberFormat="1" applyFont="1" applyFill="1" applyAlignment="1">
      <alignment/>
    </xf>
    <xf numFmtId="0" fontId="11" fillId="8" borderId="1" xfId="0" applyNumberFormat="1" applyFont="1" applyFill="1" applyAlignment="1">
      <alignment/>
    </xf>
    <xf numFmtId="0" fontId="0" fillId="8" borderId="11" xfId="0" applyNumberFormat="1" applyFont="1" applyFill="1" applyAlignment="1">
      <alignment/>
    </xf>
    <xf numFmtId="0" fontId="15" fillId="8" borderId="7" xfId="0" applyNumberFormat="1" applyFont="1" applyFill="1" applyAlignment="1">
      <alignment/>
    </xf>
    <xf numFmtId="0" fontId="0" fillId="8" borderId="8" xfId="0" applyFont="1" applyFill="1" applyAlignment="1">
      <alignment/>
    </xf>
    <xf numFmtId="0" fontId="0" fillId="9" borderId="12" xfId="0" applyFont="1" applyFill="1" applyAlignment="1">
      <alignment/>
    </xf>
    <xf numFmtId="0" fontId="0" fillId="8" borderId="13" xfId="0" applyFont="1" applyFill="1" applyAlignment="1">
      <alignment/>
    </xf>
    <xf numFmtId="0" fontId="0" fillId="9" borderId="6" xfId="0" applyFill="1" applyAlignment="1">
      <alignment/>
    </xf>
    <xf numFmtId="0" fontId="0" fillId="9" borderId="10" xfId="0" applyFill="1" applyAlignment="1">
      <alignment/>
    </xf>
    <xf numFmtId="177" fontId="0" fillId="9" borderId="10" xfId="0" applyNumberFormat="1" applyFill="1" applyAlignment="1">
      <alignment/>
    </xf>
    <xf numFmtId="0" fontId="8" fillId="8" borderId="6" xfId="0" applyNumberFormat="1" applyFont="1" applyFill="1" applyAlignment="1">
      <alignment/>
    </xf>
    <xf numFmtId="0" fontId="8" fillId="8" borderId="11" xfId="0" applyNumberFormat="1" applyFont="1" applyFill="1" applyAlignment="1">
      <alignment/>
    </xf>
    <xf numFmtId="0" fontId="11" fillId="8" borderId="3" xfId="0" applyNumberFormat="1" applyFont="1" applyFill="1" applyAlignment="1">
      <alignment/>
    </xf>
    <xf numFmtId="0" fontId="15" fillId="8" borderId="1" xfId="0" applyNumberFormat="1" applyFont="1" applyFill="1" applyAlignment="1">
      <alignment/>
    </xf>
    <xf numFmtId="0" fontId="11" fillId="9" borderId="3" xfId="0" applyNumberFormat="1" applyFont="1" applyFill="1" applyAlignment="1">
      <alignment/>
    </xf>
    <xf numFmtId="0" fontId="0" fillId="9" borderId="3" xfId="0" applyNumberFormat="1" applyFont="1" applyFill="1" applyAlignment="1">
      <alignment/>
    </xf>
    <xf numFmtId="3" fontId="0" fillId="9" borderId="3" xfId="0" applyNumberFormat="1" applyFont="1" applyFill="1" applyAlignment="1">
      <alignment/>
    </xf>
    <xf numFmtId="3" fontId="0" fillId="9" borderId="2" xfId="0" applyNumberFormat="1" applyFont="1" applyFill="1" applyAlignment="1">
      <alignment/>
    </xf>
    <xf numFmtId="0" fontId="11" fillId="9" borderId="0" xfId="0" applyNumberFormat="1" applyFont="1" applyFill="1" applyAlignment="1">
      <alignment/>
    </xf>
    <xf numFmtId="3" fontId="0" fillId="9" borderId="0" xfId="0" applyNumberFormat="1" applyFont="1" applyFill="1" applyAlignment="1">
      <alignment/>
    </xf>
    <xf numFmtId="0" fontId="0" fillId="9" borderId="10" xfId="0" applyFont="1" applyFill="1" applyAlignment="1">
      <alignment/>
    </xf>
    <xf numFmtId="3" fontId="0" fillId="9" borderId="10" xfId="0" applyNumberFormat="1" applyFont="1" applyFill="1" applyAlignment="1">
      <alignment/>
    </xf>
    <xf numFmtId="3" fontId="4" fillId="9" borderId="8" xfId="0" applyNumberFormat="1" applyFont="1" applyFill="1" applyAlignment="1">
      <alignment/>
    </xf>
    <xf numFmtId="0" fontId="11" fillId="9" borderId="1" xfId="0" applyNumberFormat="1" applyFont="1" applyFill="1" applyAlignment="1">
      <alignment/>
    </xf>
    <xf numFmtId="178" fontId="0" fillId="9" borderId="1" xfId="0" applyNumberFormat="1" applyFont="1" applyFill="1" applyAlignment="1">
      <alignment/>
    </xf>
    <xf numFmtId="0" fontId="15" fillId="3" borderId="13" xfId="0" applyNumberFormat="1" applyFont="1" applyFill="1" applyAlignment="1">
      <alignment/>
    </xf>
    <xf numFmtId="0" fontId="15" fillId="3" borderId="1" xfId="0" applyNumberFormat="1" applyFont="1" applyFill="1" applyAlignment="1">
      <alignment/>
    </xf>
    <xf numFmtId="0" fontId="0" fillId="0" borderId="0" xfId="0" applyAlignment="1" quotePrefix="1">
      <alignment/>
    </xf>
    <xf numFmtId="0" fontId="28" fillId="0" borderId="0" xfId="0" applyFont="1" applyAlignment="1">
      <alignment/>
    </xf>
    <xf numFmtId="0" fontId="29" fillId="8" borderId="8" xfId="0" applyNumberFormat="1" applyFont="1" applyFill="1" applyAlignment="1">
      <alignment/>
    </xf>
    <xf numFmtId="0" fontId="29" fillId="8" borderId="1" xfId="0" applyNumberFormat="1" applyFont="1" applyFill="1" applyAlignment="1">
      <alignment/>
    </xf>
    <xf numFmtId="0" fontId="29" fillId="2" borderId="1" xfId="0" applyNumberFormat="1" applyFont="1" applyFill="1" applyAlignment="1">
      <alignment/>
    </xf>
    <xf numFmtId="0" fontId="28" fillId="2" borderId="1" xfId="0" applyNumberFormat="1" applyFont="1" applyFill="1" applyAlignment="1">
      <alignment/>
    </xf>
    <xf numFmtId="0" fontId="0" fillId="8" borderId="8" xfId="0" applyNumberFormat="1" applyFill="1" applyAlignment="1">
      <alignment horizontal="center"/>
    </xf>
    <xf numFmtId="0" fontId="29" fillId="8" borderId="13" xfId="0" applyNumberFormat="1" applyFont="1" applyFill="1" applyAlignment="1">
      <alignment/>
    </xf>
    <xf numFmtId="0" fontId="15" fillId="8" borderId="8" xfId="0" applyNumberFormat="1" applyFont="1" applyFill="1" applyAlignment="1">
      <alignment/>
    </xf>
    <xf numFmtId="0" fontId="29" fillId="8" borderId="6" xfId="0" applyNumberFormat="1" applyFont="1" applyFill="1" applyAlignment="1">
      <alignment/>
    </xf>
    <xf numFmtId="0" fontId="29" fillId="8" borderId="10" xfId="0" applyFont="1" applyFill="1" applyAlignment="1">
      <alignment/>
    </xf>
    <xf numFmtId="0" fontId="29" fillId="8" borderId="3" xfId="0" applyNumberFormat="1" applyFont="1" applyFill="1" applyAlignment="1">
      <alignment/>
    </xf>
    <xf numFmtId="0" fontId="29" fillId="8" borderId="3" xfId="0" applyFont="1" applyFill="1" applyAlignment="1">
      <alignment/>
    </xf>
    <xf numFmtId="0" fontId="0" fillId="8" borderId="1" xfId="0" applyNumberFormat="1" applyFill="1" applyAlignment="1">
      <alignment/>
    </xf>
    <xf numFmtId="0" fontId="0" fillId="0" borderId="0" xfId="0" applyBorder="1" applyAlignment="1">
      <alignment/>
    </xf>
    <xf numFmtId="0" fontId="15" fillId="8" borderId="13" xfId="0" applyNumberFormat="1" applyFont="1" applyFill="1" applyAlignment="1">
      <alignment/>
    </xf>
    <xf numFmtId="0" fontId="15" fillId="0" borderId="1" xfId="0" applyNumberFormat="1" applyFont="1" applyAlignment="1">
      <alignment/>
    </xf>
    <xf numFmtId="0" fontId="0" fillId="2" borderId="27" xfId="0" applyFont="1" applyFill="1" applyBorder="1" applyAlignment="1">
      <alignment/>
    </xf>
    <xf numFmtId="0" fontId="0" fillId="2" borderId="28" xfId="0" applyFill="1" applyBorder="1" applyAlignment="1">
      <alignment/>
    </xf>
    <xf numFmtId="0" fontId="11" fillId="8" borderId="1" xfId="0" applyNumberFormat="1" applyFont="1" applyFill="1" applyAlignment="1">
      <alignment horizontal="center"/>
    </xf>
    <xf numFmtId="0" fontId="11" fillId="8" borderId="13" xfId="0" applyNumberFormat="1" applyFont="1" applyFill="1" applyAlignment="1">
      <alignment horizontal="center"/>
    </xf>
    <xf numFmtId="0" fontId="15" fillId="2" borderId="13" xfId="0" applyNumberFormat="1" applyFont="1" applyFill="1" applyAlignment="1">
      <alignment/>
    </xf>
    <xf numFmtId="0" fontId="11" fillId="2" borderId="14" xfId="0" applyNumberFormat="1" applyFont="1" applyFill="1" applyAlignment="1">
      <alignment/>
    </xf>
    <xf numFmtId="0" fontId="0" fillId="0" borderId="29" xfId="0" applyNumberFormat="1" applyBorder="1" applyAlignment="1">
      <alignment/>
    </xf>
    <xf numFmtId="0" fontId="0" fillId="0" borderId="28" xfId="0" applyBorder="1" applyAlignment="1">
      <alignment/>
    </xf>
    <xf numFmtId="0" fontId="0" fillId="0" borderId="28" xfId="0" applyNumberFormat="1" applyBorder="1" applyAlignment="1">
      <alignment/>
    </xf>
    <xf numFmtId="0" fontId="15" fillId="8" borderId="15" xfId="0" applyNumberFormat="1" applyFont="1" applyFill="1" applyAlignment="1">
      <alignment/>
    </xf>
    <xf numFmtId="0" fontId="28" fillId="0" borderId="1" xfId="0" applyNumberFormat="1" applyFont="1" applyAlignment="1">
      <alignment/>
    </xf>
    <xf numFmtId="0" fontId="11" fillId="4" borderId="6" xfId="0" applyNumberFormat="1" applyFont="1" applyFill="1" applyAlignment="1">
      <alignment horizontal="center"/>
    </xf>
    <xf numFmtId="0" fontId="11" fillId="4" borderId="8" xfId="0" applyNumberFormat="1" applyFont="1" applyFill="1" applyAlignment="1">
      <alignment horizontal="left" indent="1"/>
    </xf>
    <xf numFmtId="0" fontId="11" fillId="4" borderId="1" xfId="0" applyNumberFormat="1" applyFont="1" applyFill="1" applyAlignment="1">
      <alignment horizontal="left" indent="1"/>
    </xf>
    <xf numFmtId="0" fontId="11" fillId="0" borderId="1" xfId="0" applyNumberFormat="1" applyFont="1" applyAlignment="1">
      <alignment horizontal="left" indent="1"/>
    </xf>
    <xf numFmtId="0" fontId="11" fillId="0" borderId="8" xfId="0" applyNumberFormat="1" applyFont="1" applyAlignment="1">
      <alignment horizontal="left" indent="1"/>
    </xf>
    <xf numFmtId="0" fontId="11" fillId="4" borderId="7" xfId="0" applyNumberFormat="1" applyFont="1" applyFill="1" applyAlignment="1">
      <alignment horizontal="center"/>
    </xf>
    <xf numFmtId="0" fontId="11" fillId="4" borderId="6" xfId="0" applyNumberFormat="1" applyFont="1" applyFill="1" applyAlignment="1">
      <alignment horizontal="left" indent="1"/>
    </xf>
    <xf numFmtId="0" fontId="11" fillId="4" borderId="13" xfId="0" applyNumberFormat="1" applyFont="1" applyFill="1" applyAlignment="1">
      <alignment horizontal="left" indent="1"/>
    </xf>
    <xf numFmtId="0" fontId="11" fillId="0" borderId="7" xfId="0" applyNumberFormat="1" applyFont="1" applyAlignment="1">
      <alignment horizontal="center"/>
    </xf>
    <xf numFmtId="0" fontId="0" fillId="0" borderId="7" xfId="0" applyAlignment="1">
      <alignment horizontal="center"/>
    </xf>
    <xf numFmtId="0" fontId="11" fillId="4" borderId="6" xfId="0" applyFont="1" applyFill="1" applyAlignment="1">
      <alignment horizontal="center"/>
    </xf>
    <xf numFmtId="0" fontId="11" fillId="4" borderId="7" xfId="0" applyFont="1" applyFill="1" applyAlignment="1">
      <alignment horizontal="center"/>
    </xf>
    <xf numFmtId="0" fontId="11" fillId="0" borderId="11" xfId="0" applyNumberFormat="1" applyFont="1" applyAlignment="1">
      <alignment horizontal="left" indent="1"/>
    </xf>
    <xf numFmtId="0" fontId="11" fillId="0" borderId="7" xfId="0" applyNumberFormat="1" applyFont="1" applyAlignment="1">
      <alignment horizontal="left"/>
    </xf>
    <xf numFmtId="0" fontId="11" fillId="0" borderId="8" xfId="0" applyNumberFormat="1" applyFont="1" applyAlignment="1">
      <alignment horizontal="center"/>
    </xf>
    <xf numFmtId="0" fontId="0" fillId="0" borderId="2" xfId="0" applyNumberFormat="1" applyFont="1" applyAlignment="1">
      <alignment horizontal="center"/>
    </xf>
    <xf numFmtId="2" fontId="0" fillId="0" borderId="0" xfId="0" applyNumberFormat="1" applyAlignment="1">
      <alignment/>
    </xf>
    <xf numFmtId="2" fontId="0" fillId="3" borderId="8" xfId="0" applyNumberFormat="1" applyFont="1" applyFill="1" applyAlignment="1" applyProtection="1">
      <alignment/>
      <protection locked="0"/>
    </xf>
    <xf numFmtId="2" fontId="6" fillId="3" borderId="8" xfId="0" applyNumberFormat="1" applyFont="1" applyFill="1" applyAlignment="1" applyProtection="1">
      <alignment/>
      <protection locked="0"/>
    </xf>
    <xf numFmtId="2" fontId="0" fillId="3" borderId="1" xfId="0" applyNumberFormat="1" applyFont="1" applyFill="1" applyAlignment="1" applyProtection="1">
      <alignment/>
      <protection locked="0"/>
    </xf>
    <xf numFmtId="2" fontId="0" fillId="3" borderId="6" xfId="0" applyNumberFormat="1" applyFont="1" applyFill="1" applyAlignment="1" applyProtection="1">
      <alignment/>
      <protection locked="0"/>
    </xf>
    <xf numFmtId="177" fontId="0" fillId="3" borderId="8" xfId="0" applyNumberFormat="1" applyFont="1" applyFill="1" applyAlignment="1" applyProtection="1">
      <alignment/>
      <protection locked="0"/>
    </xf>
    <xf numFmtId="0" fontId="0" fillId="3" borderId="8" xfId="0" applyNumberFormat="1" applyFont="1" applyFill="1" applyAlignment="1" applyProtection="1">
      <alignment/>
      <protection locked="0"/>
    </xf>
    <xf numFmtId="0" fontId="0" fillId="3" borderId="6" xfId="0" applyNumberFormat="1" applyFont="1" applyFill="1" applyAlignment="1" applyProtection="1">
      <alignment/>
      <protection locked="0"/>
    </xf>
    <xf numFmtId="2" fontId="0" fillId="3" borderId="13" xfId="0" applyNumberFormat="1" applyFont="1" applyFill="1" applyAlignment="1" applyProtection="1">
      <alignment/>
      <protection locked="0"/>
    </xf>
    <xf numFmtId="177" fontId="0" fillId="3" borderId="1" xfId="0" applyNumberFormat="1" applyFont="1" applyFill="1" applyAlignment="1" applyProtection="1">
      <alignment/>
      <protection locked="0"/>
    </xf>
    <xf numFmtId="0" fontId="0" fillId="3" borderId="1" xfId="0" applyNumberFormat="1" applyFont="1" applyFill="1" applyAlignment="1" applyProtection="1">
      <alignment/>
      <protection locked="0"/>
    </xf>
    <xf numFmtId="0" fontId="0" fillId="3" borderId="12" xfId="0" applyNumberFormat="1" applyFont="1" applyFill="1" applyAlignment="1" applyProtection="1">
      <alignment/>
      <protection locked="0"/>
    </xf>
    <xf numFmtId="0" fontId="0" fillId="3" borderId="13" xfId="0" applyNumberFormat="1" applyFont="1" applyFill="1" applyAlignment="1" applyProtection="1">
      <alignment/>
      <protection locked="0"/>
    </xf>
    <xf numFmtId="0" fontId="0" fillId="2" borderId="1" xfId="0" applyNumberFormat="1" applyFill="1" applyAlignment="1">
      <alignment/>
    </xf>
    <xf numFmtId="0" fontId="6" fillId="3" borderId="1" xfId="0" applyNumberFormat="1" applyFont="1" applyFill="1" applyAlignment="1" applyProtection="1">
      <alignment/>
      <protection locked="0"/>
    </xf>
    <xf numFmtId="3" fontId="0" fillId="3" borderId="13" xfId="0" applyNumberFormat="1" applyFont="1" applyFill="1" applyAlignment="1" applyProtection="1">
      <alignment/>
      <protection locked="0"/>
    </xf>
    <xf numFmtId="3" fontId="0" fillId="3" borderId="1" xfId="0" applyNumberFormat="1" applyFont="1" applyFill="1" applyAlignment="1" applyProtection="1">
      <alignment/>
      <protection locked="0"/>
    </xf>
    <xf numFmtId="3" fontId="0" fillId="3" borderId="6" xfId="0" applyNumberFormat="1" applyFont="1" applyFill="1" applyAlignment="1" applyProtection="1">
      <alignment/>
      <protection locked="0"/>
    </xf>
    <xf numFmtId="3" fontId="0" fillId="3" borderId="8" xfId="0" applyNumberFormat="1" applyFont="1" applyFill="1" applyAlignment="1" applyProtection="1">
      <alignment/>
      <protection locked="0"/>
    </xf>
    <xf numFmtId="0" fontId="0" fillId="3" borderId="11" xfId="0" applyNumberFormat="1" applyFont="1" applyFill="1" applyAlignment="1" applyProtection="1">
      <alignment/>
      <protection locked="0"/>
    </xf>
    <xf numFmtId="0" fontId="0" fillId="3" borderId="13" xfId="0" applyFont="1" applyFill="1" applyAlignment="1" applyProtection="1">
      <alignment/>
      <protection locked="0"/>
    </xf>
    <xf numFmtId="179" fontId="0" fillId="3" borderId="1" xfId="0" applyNumberFormat="1" applyFont="1" applyFill="1" applyAlignment="1" applyProtection="1">
      <alignment/>
      <protection locked="0"/>
    </xf>
    <xf numFmtId="0" fontId="0" fillId="0" borderId="11" xfId="0" applyNumberFormat="1" applyAlignment="1">
      <alignment/>
    </xf>
    <xf numFmtId="0" fontId="0" fillId="0" borderId="12" xfId="0" applyNumberFormat="1" applyFill="1" applyAlignment="1" applyProtection="1">
      <alignment/>
      <protection locked="0"/>
    </xf>
    <xf numFmtId="3" fontId="0" fillId="0" borderId="1" xfId="0" applyNumberFormat="1" applyFill="1" applyAlignment="1" applyProtection="1">
      <alignment/>
      <protection locked="0"/>
    </xf>
    <xf numFmtId="0" fontId="0" fillId="0" borderId="0" xfId="0" applyFill="1" applyAlignment="1" applyProtection="1">
      <alignment/>
      <protection locked="0"/>
    </xf>
    <xf numFmtId="0" fontId="0" fillId="2" borderId="28" xfId="0" applyNumberFormat="1" applyFont="1" applyFill="1" applyBorder="1" applyAlignment="1">
      <alignment horizontal="center"/>
    </xf>
    <xf numFmtId="0" fontId="0" fillId="2" borderId="30" xfId="0" applyNumberFormat="1" applyFont="1" applyFill="1" applyBorder="1" applyAlignment="1">
      <alignment horizontal="center"/>
    </xf>
    <xf numFmtId="0" fontId="0" fillId="2" borderId="27" xfId="0" applyNumberFormat="1" applyFont="1" applyFill="1" applyBorder="1" applyAlignment="1">
      <alignment horizontal="center"/>
    </xf>
    <xf numFmtId="0" fontId="0" fillId="0" borderId="28" xfId="0" applyNumberFormat="1" applyBorder="1" applyAlignment="1">
      <alignment horizontal="center"/>
    </xf>
    <xf numFmtId="0" fontId="0" fillId="0" borderId="27" xfId="0" applyNumberFormat="1" applyBorder="1" applyAlignment="1">
      <alignment horizontal="center"/>
    </xf>
    <xf numFmtId="0" fontId="0" fillId="8" borderId="31" xfId="0" applyNumberFormat="1" applyFill="1" applyBorder="1" applyAlignment="1">
      <alignment horizontal="center"/>
    </xf>
    <xf numFmtId="0" fontId="0" fillId="8" borderId="32" xfId="0" applyNumberFormat="1" applyFont="1" applyFill="1" applyBorder="1" applyAlignment="1">
      <alignment horizontal="center"/>
    </xf>
    <xf numFmtId="0" fontId="0" fillId="8" borderId="33" xfId="0" applyNumberFormat="1" applyFont="1" applyFill="1" applyBorder="1" applyAlignment="1">
      <alignment horizontal="center"/>
    </xf>
    <xf numFmtId="0" fontId="8" fillId="5" borderId="34" xfId="0" applyNumberFormat="1" applyFont="1" applyFill="1" applyBorder="1" applyAlignment="1">
      <alignment horizontal="center"/>
    </xf>
    <xf numFmtId="0" fontId="8" fillId="5" borderId="35" xfId="0" applyNumberFormat="1" applyFont="1" applyFill="1" applyBorder="1" applyAlignment="1">
      <alignment horizontal="center"/>
    </xf>
    <xf numFmtId="0" fontId="0" fillId="8" borderId="31" xfId="0" applyNumberFormat="1" applyFont="1" applyFill="1" applyBorder="1" applyAlignment="1">
      <alignment horizontal="center"/>
    </xf>
    <xf numFmtId="0" fontId="29" fillId="8" borderId="28" xfId="0" applyNumberFormat="1" applyFont="1" applyFill="1" applyBorder="1" applyAlignment="1">
      <alignment horizontal="center"/>
    </xf>
    <xf numFmtId="0" fontId="29" fillId="8" borderId="27" xfId="0" applyNumberFormat="1" applyFont="1" applyFill="1" applyBorder="1" applyAlignment="1">
      <alignment horizontal="center"/>
    </xf>
    <xf numFmtId="0" fontId="0" fillId="0" borderId="28" xfId="0" applyNumberFormat="1" applyFont="1" applyBorder="1" applyAlignment="1">
      <alignment horizontal="center"/>
    </xf>
    <xf numFmtId="0" fontId="0" fillId="0" borderId="27" xfId="0" applyNumberFormat="1" applyFont="1" applyBorder="1" applyAlignment="1">
      <alignment horizontal="center"/>
    </xf>
    <xf numFmtId="0" fontId="11" fillId="2" borderId="28" xfId="0" applyNumberFormat="1" applyFont="1" applyFill="1" applyBorder="1" applyAlignment="1">
      <alignment horizontal="center"/>
    </xf>
    <xf numFmtId="0" fontId="11" fillId="2" borderId="27" xfId="0" applyNumberFormat="1" applyFont="1" applyFill="1" applyBorder="1" applyAlignment="1">
      <alignment horizontal="center"/>
    </xf>
    <xf numFmtId="0" fontId="0" fillId="2" borderId="31" xfId="0" applyNumberFormat="1" applyFill="1" applyBorder="1" applyAlignment="1">
      <alignment horizontal="center"/>
    </xf>
    <xf numFmtId="0" fontId="0" fillId="2" borderId="33" xfId="0" applyNumberFormat="1" applyFont="1" applyFill="1" applyBorder="1" applyAlignment="1">
      <alignment horizontal="center"/>
    </xf>
    <xf numFmtId="0" fontId="11" fillId="2" borderId="36" xfId="0" applyNumberFormat="1" applyFont="1" applyFill="1" applyBorder="1" applyAlignment="1">
      <alignment horizontal="center"/>
    </xf>
    <xf numFmtId="0" fontId="11" fillId="2" borderId="33" xfId="0" applyNumberFormat="1" applyFont="1" applyFill="1" applyBorder="1" applyAlignment="1">
      <alignment horizontal="center"/>
    </xf>
    <xf numFmtId="0" fontId="11" fillId="2" borderId="37" xfId="0" applyNumberFormat="1" applyFont="1" applyFill="1" applyBorder="1" applyAlignment="1">
      <alignment horizontal="center"/>
    </xf>
    <xf numFmtId="0" fontId="11" fillId="2" borderId="31" xfId="0" applyNumberFormat="1" applyFont="1" applyFill="1" applyBorder="1" applyAlignment="1">
      <alignment horizontal="center"/>
    </xf>
    <xf numFmtId="0" fontId="0" fillId="2" borderId="38" xfId="0" applyNumberFormat="1" applyFont="1" applyFill="1" applyBorder="1" applyAlignment="1">
      <alignment horizontal="center"/>
    </xf>
    <xf numFmtId="0" fontId="0" fillId="2" borderId="37" xfId="0" applyNumberFormat="1" applyFont="1" applyFill="1" applyBorder="1" applyAlignment="1">
      <alignment horizontal="center"/>
    </xf>
    <xf numFmtId="0" fontId="11" fillId="2" borderId="39" xfId="0" applyNumberFormat="1" applyFont="1" applyFill="1" applyBorder="1" applyAlignment="1">
      <alignment horizontal="center"/>
    </xf>
    <xf numFmtId="0" fontId="0" fillId="8" borderId="34" xfId="0" applyNumberFormat="1" applyFont="1" applyFill="1" applyBorder="1" applyAlignment="1">
      <alignment horizontal="center"/>
    </xf>
    <xf numFmtId="0" fontId="0" fillId="8" borderId="40" xfId="0" applyNumberFormat="1" applyFont="1" applyFill="1" applyBorder="1" applyAlignment="1">
      <alignment horizontal="center"/>
    </xf>
    <xf numFmtId="0" fontId="0" fillId="8" borderId="36" xfId="0" applyNumberFormat="1" applyFont="1" applyFill="1" applyBorder="1" applyAlignment="1">
      <alignment horizontal="center"/>
    </xf>
    <xf numFmtId="0" fontId="0" fillId="8" borderId="38" xfId="0" applyNumberFormat="1" applyFont="1" applyFill="1" applyBorder="1" applyAlignment="1">
      <alignment horizontal="center"/>
    </xf>
    <xf numFmtId="0" fontId="0" fillId="8" borderId="41" xfId="0" applyNumberFormat="1" applyFont="1" applyFill="1" applyBorder="1" applyAlignment="1">
      <alignment horizontal="center"/>
    </xf>
    <xf numFmtId="0" fontId="11" fillId="8" borderId="28" xfId="0" applyNumberFormat="1" applyFont="1" applyFill="1" applyBorder="1" applyAlignment="1">
      <alignment horizontal="center"/>
    </xf>
    <xf numFmtId="0" fontId="11" fillId="8" borderId="27" xfId="0" applyNumberFormat="1" applyFont="1" applyFill="1" applyBorder="1" applyAlignment="1">
      <alignment horizontal="center"/>
    </xf>
    <xf numFmtId="0" fontId="11" fillId="4" borderId="31" xfId="0" applyNumberFormat="1" applyFont="1" applyFill="1" applyBorder="1" applyAlignment="1">
      <alignment horizontal="left" indent="2"/>
    </xf>
    <xf numFmtId="0" fontId="11" fillId="4" borderId="33" xfId="0" applyNumberFormat="1" applyFont="1" applyFill="1" applyBorder="1" applyAlignment="1">
      <alignment horizontal="left" indent="2"/>
    </xf>
    <xf numFmtId="0" fontId="11" fillId="4" borderId="42" xfId="0" applyNumberFormat="1" applyFont="1" applyFill="1" applyBorder="1" applyAlignment="1">
      <alignment horizontal="left" indent="2"/>
    </xf>
    <xf numFmtId="0" fontId="11" fillId="4" borderId="43" xfId="0" applyNumberFormat="1" applyFont="1" applyFill="1" applyBorder="1" applyAlignment="1">
      <alignment horizontal="left" indent="2"/>
    </xf>
    <xf numFmtId="0" fontId="11" fillId="0" borderId="44" xfId="0" applyNumberFormat="1" applyFont="1" applyBorder="1" applyAlignment="1">
      <alignment horizontal="left" indent="2"/>
    </xf>
    <xf numFmtId="0" fontId="11" fillId="0" borderId="45" xfId="0" applyNumberFormat="1" applyFont="1" applyBorder="1" applyAlignment="1">
      <alignment horizontal="left" indent="2"/>
    </xf>
    <xf numFmtId="0" fontId="0" fillId="0" borderId="36" xfId="0" applyNumberFormat="1" applyBorder="1" applyAlignment="1">
      <alignment horizontal="center"/>
    </xf>
    <xf numFmtId="0" fontId="0" fillId="0" borderId="39" xfId="0" applyNumberFormat="1" applyFont="1" applyBorder="1" applyAlignment="1">
      <alignment horizontal="center"/>
    </xf>
    <xf numFmtId="0" fontId="0" fillId="4" borderId="38" xfId="0" applyNumberFormat="1" applyFont="1" applyFill="1" applyBorder="1" applyAlignment="1">
      <alignment horizontal="center"/>
    </xf>
    <xf numFmtId="0" fontId="0" fillId="4" borderId="37" xfId="0" applyNumberFormat="1" applyFont="1" applyFill="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12</xdr:col>
      <xdr:colOff>257175</xdr:colOff>
      <xdr:row>26</xdr:row>
      <xdr:rowOff>114300</xdr:rowOff>
    </xdr:to>
    <xdr:pic>
      <xdr:nvPicPr>
        <xdr:cNvPr id="1" name="Picture 1"/>
        <xdr:cNvPicPr preferRelativeResize="1">
          <a:picLocks noChangeAspect="1"/>
        </xdr:cNvPicPr>
      </xdr:nvPicPr>
      <xdr:blipFill>
        <a:blip r:embed="rId1"/>
        <a:stretch>
          <a:fillRect/>
        </a:stretch>
      </xdr:blipFill>
      <xdr:spPr>
        <a:xfrm>
          <a:off x="0" y="381000"/>
          <a:ext cx="7353300" cy="445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11</xdr:col>
      <xdr:colOff>95250</xdr:colOff>
      <xdr:row>26</xdr:row>
      <xdr:rowOff>57150</xdr:rowOff>
    </xdr:to>
    <xdr:pic>
      <xdr:nvPicPr>
        <xdr:cNvPr id="1" name="Picture 1"/>
        <xdr:cNvPicPr preferRelativeResize="1">
          <a:picLocks noChangeAspect="1"/>
        </xdr:cNvPicPr>
      </xdr:nvPicPr>
      <xdr:blipFill>
        <a:blip r:embed="rId1"/>
        <a:stretch>
          <a:fillRect/>
        </a:stretch>
      </xdr:blipFill>
      <xdr:spPr>
        <a:xfrm>
          <a:off x="0" y="561975"/>
          <a:ext cx="7229475" cy="421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40"/>
  <sheetViews>
    <sheetView showGridLines="0" tabSelected="1" showOutlineSymbols="0" zoomScale="110" zoomScaleNormal="110" workbookViewId="0" topLeftCell="A10">
      <selection activeCell="C13" sqref="C13:H13"/>
    </sheetView>
  </sheetViews>
  <sheetFormatPr defaultColWidth="9.00390625" defaultRowHeight="14.25"/>
  <cols>
    <col min="1" max="1" width="12.00390625" style="0" customWidth="1"/>
    <col min="2" max="2" width="15.00390625" style="0" customWidth="1"/>
    <col min="3" max="5" width="5.75390625" style="0" customWidth="1"/>
    <col min="6" max="10" width="8.00390625" style="0" customWidth="1"/>
    <col min="11" max="11" width="8.625" style="0" customWidth="1"/>
    <col min="12" max="13" width="10.50390625" style="0" customWidth="1"/>
    <col min="14" max="15" width="10.75390625" style="0" customWidth="1"/>
    <col min="16" max="16" width="11.50390625" style="0" customWidth="1"/>
    <col min="17" max="18" width="11.25390625" style="0" customWidth="1"/>
    <col min="19" max="24" width="6.75390625" style="0" customWidth="1"/>
    <col min="25" max="25" width="7.75390625" style="0" customWidth="1"/>
    <col min="26" max="26" width="9.50390625" style="0" customWidth="1"/>
    <col min="27" max="27" width="6.75390625" style="0" customWidth="1"/>
    <col min="28" max="31" width="7.75390625" style="0" customWidth="1"/>
    <col min="32" max="34" width="8.75390625" style="0" customWidth="1"/>
    <col min="35" max="36" width="10.50390625" style="0" customWidth="1"/>
    <col min="37" max="38" width="10.375" style="0" customWidth="1"/>
    <col min="39" max="16384" width="10.75390625" style="0" customWidth="1"/>
  </cols>
  <sheetData>
    <row r="1" spans="1:4" ht="19.5" customHeight="1">
      <c r="A1" t="s">
        <v>872</v>
      </c>
      <c r="B1" s="3" t="s">
        <v>861</v>
      </c>
      <c r="C1" s="4"/>
      <c r="D1" s="5"/>
    </row>
    <row r="2" ht="12.75" customHeight="1">
      <c r="B2" s="6"/>
    </row>
    <row r="3" spans="4:14" ht="14.25">
      <c r="D3" s="7" t="s">
        <v>0</v>
      </c>
      <c r="E3" t="s">
        <v>1</v>
      </c>
      <c r="H3" s="410" t="s">
        <v>2</v>
      </c>
      <c r="I3" t="s">
        <v>3</v>
      </c>
      <c r="M3" s="8" t="s">
        <v>4</v>
      </c>
      <c r="N3" s="9"/>
    </row>
    <row r="4" spans="1:15" ht="17.25" thickBot="1" thickTop="1">
      <c r="A4" s="10" t="s">
        <v>5</v>
      </c>
      <c r="F4" t="s">
        <v>6</v>
      </c>
      <c r="M4" s="11" t="s">
        <v>7</v>
      </c>
      <c r="N4" s="12">
        <f>'ｺｽﾄ表'!K16-'ｺｽﾄ表'!H16</f>
        <v>-7558.404788973581</v>
      </c>
      <c r="O4" s="13"/>
    </row>
    <row r="5" spans="1:15" ht="12.75" customHeight="1" thickBot="1" thickTop="1">
      <c r="A5" s="394"/>
      <c r="B5" s="395" t="s">
        <v>8</v>
      </c>
      <c r="C5" s="395" t="s">
        <v>9</v>
      </c>
      <c r="D5" s="395" t="str">
        <f>H11</f>
        <v>　Ｃｕ</v>
      </c>
      <c r="E5" s="15"/>
      <c r="F5" s="394"/>
      <c r="G5" s="395" t="s">
        <v>10</v>
      </c>
      <c r="H5" s="395" t="s">
        <v>11</v>
      </c>
      <c r="I5" s="491" t="s">
        <v>874</v>
      </c>
      <c r="J5" s="395" t="s">
        <v>12</v>
      </c>
      <c r="K5" s="491" t="s">
        <v>875</v>
      </c>
      <c r="L5" s="15"/>
      <c r="M5" s="11" t="s">
        <v>13</v>
      </c>
      <c r="N5" s="12">
        <f>'ｺｽﾄ表'!K32-'ｺｽﾄ表'!H32</f>
        <v>-20391.387709963165</v>
      </c>
      <c r="O5" s="13"/>
    </row>
    <row r="6" spans="1:14" ht="15" customHeight="1" thickTop="1">
      <c r="A6" s="396" t="str">
        <f>L11</f>
        <v>方案歩留り５０％</v>
      </c>
      <c r="B6" s="530">
        <v>3.8</v>
      </c>
      <c r="C6" s="530">
        <v>2.7</v>
      </c>
      <c r="D6" s="531">
        <v>0.7</v>
      </c>
      <c r="E6" s="15"/>
      <c r="F6" s="399" t="s">
        <v>14</v>
      </c>
      <c r="G6" s="530">
        <v>4.5</v>
      </c>
      <c r="H6" s="530">
        <v>45</v>
      </c>
      <c r="I6" s="530">
        <v>1.35</v>
      </c>
      <c r="J6" s="530">
        <v>95</v>
      </c>
      <c r="K6" s="411">
        <f>100*I6/100*H6/100*J6/100</f>
        <v>0.5771250000000001</v>
      </c>
      <c r="L6" s="15"/>
      <c r="M6" s="18"/>
      <c r="N6" s="18"/>
    </row>
    <row r="7" spans="1:12" ht="15" customHeight="1">
      <c r="A7" s="397" t="str">
        <f>M11</f>
        <v>方案歩留り６０％</v>
      </c>
      <c r="B7" s="19">
        <f>B6</f>
        <v>3.8</v>
      </c>
      <c r="C7" s="19">
        <f>C6</f>
        <v>2.7</v>
      </c>
      <c r="D7" s="20">
        <f>D6</f>
        <v>0.7</v>
      </c>
      <c r="E7" s="15"/>
      <c r="F7" s="400" t="s">
        <v>15</v>
      </c>
      <c r="G7" s="19"/>
      <c r="H7" s="532">
        <v>75</v>
      </c>
      <c r="I7" s="532">
        <v>0.4</v>
      </c>
      <c r="J7" s="532">
        <v>95</v>
      </c>
      <c r="K7" s="412">
        <f>100*I7/100*H7/100*J7/100</f>
        <v>0.285</v>
      </c>
      <c r="L7" s="15"/>
    </row>
    <row r="8" spans="1:16" ht="12.75" customHeight="1">
      <c r="A8" s="22"/>
      <c r="B8" s="22"/>
      <c r="C8" s="22"/>
      <c r="D8" s="23"/>
      <c r="F8" s="22"/>
      <c r="G8" s="22"/>
      <c r="H8" s="22"/>
      <c r="I8" s="22"/>
      <c r="J8" s="22"/>
      <c r="K8" s="22"/>
      <c r="P8" t="s">
        <v>16</v>
      </c>
    </row>
    <row r="9" spans="2:39" ht="16.5" thickBot="1">
      <c r="B9" s="24" t="s">
        <v>17</v>
      </c>
      <c r="C9" s="25"/>
      <c r="L9" s="406" t="s">
        <v>18</v>
      </c>
      <c r="M9" s="539">
        <v>3000</v>
      </c>
      <c r="N9" s="28" t="s">
        <v>19</v>
      </c>
      <c r="P9" s="29"/>
      <c r="Q9" s="29"/>
      <c r="R9" s="30"/>
      <c r="S9" s="29"/>
      <c r="T9" s="30"/>
      <c r="U9" s="31" t="s">
        <v>20</v>
      </c>
      <c r="V9" s="31" t="s">
        <v>21</v>
      </c>
      <c r="W9" s="30"/>
      <c r="X9" s="30"/>
      <c r="Y9" s="30"/>
      <c r="Z9" s="30"/>
      <c r="AA9" s="30"/>
      <c r="AB9" s="30"/>
      <c r="AC9" s="29"/>
      <c r="AD9" s="30"/>
      <c r="AE9" s="31" t="s">
        <v>22</v>
      </c>
      <c r="AF9" s="30"/>
      <c r="AG9" s="30"/>
      <c r="AH9" s="30"/>
      <c r="AI9" s="558" t="s">
        <v>23</v>
      </c>
      <c r="AJ9" s="559"/>
      <c r="AK9" s="32" t="str">
        <f>H11</f>
        <v>　Ｃｕ</v>
      </c>
      <c r="AL9" s="33" t="s">
        <v>21</v>
      </c>
      <c r="AM9" s="34"/>
    </row>
    <row r="10" spans="1:39" ht="15" thickTop="1">
      <c r="A10" s="394"/>
      <c r="B10" s="401"/>
      <c r="C10" s="560" t="s">
        <v>876</v>
      </c>
      <c r="D10" s="561"/>
      <c r="E10" s="561"/>
      <c r="F10" s="561"/>
      <c r="G10" s="561"/>
      <c r="H10" s="562"/>
      <c r="I10" s="565" t="s">
        <v>24</v>
      </c>
      <c r="J10" s="561"/>
      <c r="K10" s="562"/>
      <c r="L10" s="565" t="s">
        <v>25</v>
      </c>
      <c r="M10" s="562"/>
      <c r="N10" s="37"/>
      <c r="P10" s="38"/>
      <c r="Q10" s="555" t="s">
        <v>26</v>
      </c>
      <c r="R10" s="557"/>
      <c r="S10" s="555" t="str">
        <f>Q11</f>
        <v>方案歩留り５０％</v>
      </c>
      <c r="T10" s="556"/>
      <c r="U10" s="556"/>
      <c r="V10" s="556"/>
      <c r="W10" s="557"/>
      <c r="X10" s="555" t="str">
        <f>R11</f>
        <v>方案歩留り６０％</v>
      </c>
      <c r="Y10" s="556"/>
      <c r="Z10" s="556"/>
      <c r="AA10" s="556"/>
      <c r="AB10" s="557"/>
      <c r="AC10" s="555" t="str">
        <f>S10</f>
        <v>方案歩留り５０％</v>
      </c>
      <c r="AD10" s="556"/>
      <c r="AE10" s="557"/>
      <c r="AF10" s="555" t="str">
        <f>X10</f>
        <v>方案歩留り６０％</v>
      </c>
      <c r="AG10" s="556"/>
      <c r="AH10" s="557"/>
      <c r="AI10" s="253" t="str">
        <f>AC10</f>
        <v>方案歩留り５０％</v>
      </c>
      <c r="AJ10" s="253" t="str">
        <f>AF10</f>
        <v>方案歩留り６０％</v>
      </c>
      <c r="AK10" s="40"/>
      <c r="AM10" s="34"/>
    </row>
    <row r="11" spans="1:39" ht="15" thickBot="1">
      <c r="A11" s="403"/>
      <c r="B11" s="393"/>
      <c r="C11" s="404" t="s">
        <v>8</v>
      </c>
      <c r="D11" s="405" t="s">
        <v>9</v>
      </c>
      <c r="E11" s="405" t="s">
        <v>27</v>
      </c>
      <c r="F11" s="405" t="s">
        <v>28</v>
      </c>
      <c r="G11" s="405" t="s">
        <v>29</v>
      </c>
      <c r="H11" s="406" t="s">
        <v>30</v>
      </c>
      <c r="I11" s="404" t="s">
        <v>8</v>
      </c>
      <c r="J11" s="405" t="s">
        <v>9</v>
      </c>
      <c r="K11" s="405" t="s">
        <v>27</v>
      </c>
      <c r="L11" s="483" t="s">
        <v>862</v>
      </c>
      <c r="M11" s="484" t="s">
        <v>873</v>
      </c>
      <c r="N11" s="15"/>
      <c r="O11" s="43"/>
      <c r="P11" s="38"/>
      <c r="Q11" s="490" t="str">
        <f>L11</f>
        <v>方案歩留り５０％</v>
      </c>
      <c r="R11" s="490" t="str">
        <f>M11</f>
        <v>方案歩留り６０％</v>
      </c>
      <c r="S11" s="42" t="str">
        <f>C11</f>
        <v>Ｃ</v>
      </c>
      <c r="T11" s="42" t="str">
        <f>D11</f>
        <v>Ｓｉ</v>
      </c>
      <c r="U11" s="42" t="str">
        <f>E11</f>
        <v>Ｍｎ</v>
      </c>
      <c r="V11" s="42" t="str">
        <f>F11</f>
        <v>Ｐ</v>
      </c>
      <c r="W11" s="42" t="str">
        <f>G11</f>
        <v>Ｓ</v>
      </c>
      <c r="X11" s="42" t="str">
        <f>S11</f>
        <v>Ｃ</v>
      </c>
      <c r="Y11" s="42" t="str">
        <f>T11</f>
        <v>Ｓｉ</v>
      </c>
      <c r="Z11" s="42" t="str">
        <f>U11</f>
        <v>Ｍｎ</v>
      </c>
      <c r="AA11" s="26" t="str">
        <f>V11</f>
        <v>Ｐ</v>
      </c>
      <c r="AB11" s="26" t="str">
        <f>W11</f>
        <v>Ｓ</v>
      </c>
      <c r="AC11" s="26" t="str">
        <f>S11</f>
        <v>Ｃ</v>
      </c>
      <c r="AD11" s="26" t="str">
        <f>T11</f>
        <v>Ｓｉ</v>
      </c>
      <c r="AE11" s="26" t="str">
        <f>U11</f>
        <v>Ｍｎ</v>
      </c>
      <c r="AF11" s="26" t="str">
        <f>X11</f>
        <v>Ｃ</v>
      </c>
      <c r="AG11" s="26" t="str">
        <f>Y11</f>
        <v>Ｓｉ</v>
      </c>
      <c r="AH11" s="26" t="str">
        <f>Z11</f>
        <v>Ｍｎ</v>
      </c>
      <c r="AI11" s="34"/>
      <c r="AJ11" s="34"/>
      <c r="AK11" s="253" t="str">
        <f>S10</f>
        <v>方案歩留り５０％</v>
      </c>
      <c r="AL11" s="253" t="str">
        <f>M11</f>
        <v>方案歩留り６０％</v>
      </c>
      <c r="AM11" s="34"/>
    </row>
    <row r="12" spans="1:39" ht="14.25">
      <c r="A12" s="44"/>
      <c r="B12" s="45" t="s">
        <v>31</v>
      </c>
      <c r="C12" s="533">
        <v>0</v>
      </c>
      <c r="D12" s="530">
        <v>0</v>
      </c>
      <c r="E12" s="530">
        <v>0</v>
      </c>
      <c r="F12" s="534">
        <v>0</v>
      </c>
      <c r="G12" s="534">
        <v>0</v>
      </c>
      <c r="H12" s="535">
        <v>0</v>
      </c>
      <c r="I12" s="536">
        <v>99</v>
      </c>
      <c r="J12" s="535">
        <v>99</v>
      </c>
      <c r="K12" s="535">
        <v>90</v>
      </c>
      <c r="L12" s="536">
        <v>0</v>
      </c>
      <c r="M12" s="535">
        <v>0</v>
      </c>
      <c r="N12" s="28" t="s">
        <v>19</v>
      </c>
      <c r="O12" s="43"/>
      <c r="P12" s="26" t="str">
        <f aca="true" t="shared" si="0" ref="P12:P17">B12</f>
        <v>残　し　湯</v>
      </c>
      <c r="Q12" s="21">
        <f>L12/M9</f>
        <v>0</v>
      </c>
      <c r="R12" s="21">
        <f>M12/M9</f>
        <v>0</v>
      </c>
      <c r="S12" s="21">
        <f aca="true" t="shared" si="1" ref="S12:S17">C12*I12/100*Q12</f>
        <v>0</v>
      </c>
      <c r="T12" s="21">
        <f aca="true" t="shared" si="2" ref="T12:T17">D12*J12/100*Q12</f>
        <v>0</v>
      </c>
      <c r="U12" s="21">
        <f aca="true" t="shared" si="3" ref="U12:U17">E12*K12/100*Q12</f>
        <v>0</v>
      </c>
      <c r="V12" s="46">
        <f aca="true" t="shared" si="4" ref="V12:V17">F12*Q12</f>
        <v>0</v>
      </c>
      <c r="W12" s="46">
        <f aca="true" t="shared" si="5" ref="W12:W17">G12*Q12</f>
        <v>0</v>
      </c>
      <c r="X12" s="21">
        <f aca="true" t="shared" si="6" ref="X12:X17">C12*I12/100*R12</f>
        <v>0</v>
      </c>
      <c r="Y12" s="21">
        <f aca="true" t="shared" si="7" ref="Y12:Y17">D12*J12/100*R12</f>
        <v>0</v>
      </c>
      <c r="Z12" s="21">
        <f aca="true" t="shared" si="8" ref="Z12:Z17">E12*K12/100*R12</f>
        <v>0</v>
      </c>
      <c r="AA12" s="46">
        <f aca="true" t="shared" si="9" ref="AA12:AA17">F12*R12</f>
        <v>0</v>
      </c>
      <c r="AB12" s="46">
        <f aca="true" t="shared" si="10" ref="AB12:AB17">G12*R12</f>
        <v>0</v>
      </c>
      <c r="AC12" s="47">
        <f aca="true" t="shared" si="11" ref="AC12:AC17">C12*(100-I12)/100*Q12</f>
        <v>0</v>
      </c>
      <c r="AD12" s="47">
        <f aca="true" t="shared" si="12" ref="AD12:AD17">D12*(100-J12)/100*Q12</f>
        <v>0</v>
      </c>
      <c r="AE12" s="47">
        <f aca="true" t="shared" si="13" ref="AE12:AE17">E12*(100-K12)/100*Q12</f>
        <v>0</v>
      </c>
      <c r="AF12" s="47">
        <f aca="true" t="shared" si="14" ref="AF12:AF17">C12*(100-I12)/100*R12</f>
        <v>0</v>
      </c>
      <c r="AG12" s="47">
        <f aca="true" t="shared" si="15" ref="AG12:AG17">D12*(100-J12)/100*R12</f>
        <v>0</v>
      </c>
      <c r="AH12" s="47">
        <f aca="true" t="shared" si="16" ref="AH12:AH17">E12*(100-K12)/100*R12</f>
        <v>0</v>
      </c>
      <c r="AI12" s="48"/>
      <c r="AJ12" s="48"/>
      <c r="AK12" s="32">
        <f aca="true" t="shared" si="17" ref="AK12:AK17">H12*Q12</f>
        <v>0</v>
      </c>
      <c r="AL12" s="32">
        <f aca="true" t="shared" si="18" ref="AL12:AL17">H12*R12</f>
        <v>0</v>
      </c>
      <c r="AM12" s="34"/>
    </row>
    <row r="13" spans="1:39" ht="14.25">
      <c r="A13" s="407"/>
      <c r="B13" s="408" t="s">
        <v>32</v>
      </c>
      <c r="C13" s="51">
        <v>3.8</v>
      </c>
      <c r="D13" s="52">
        <v>0.96</v>
      </c>
      <c r="E13" s="52">
        <v>0.16</v>
      </c>
      <c r="F13" s="53">
        <v>0.023</v>
      </c>
      <c r="G13" s="53">
        <v>0.009</v>
      </c>
      <c r="H13" s="54">
        <v>0.05</v>
      </c>
      <c r="I13" s="413">
        <f>I12</f>
        <v>99</v>
      </c>
      <c r="J13" s="414">
        <f>J12</f>
        <v>99</v>
      </c>
      <c r="K13" s="414">
        <f>K12</f>
        <v>90</v>
      </c>
      <c r="L13" s="56">
        <f>100-L14-L15-L16-L17</f>
        <v>40.7</v>
      </c>
      <c r="M13" s="417">
        <f>100-M14-M15-M16-M17</f>
        <v>50.1</v>
      </c>
      <c r="N13" s="15"/>
      <c r="O13" s="43"/>
      <c r="P13" s="26" t="str">
        <f t="shared" si="0"/>
        <v>ＥＰ銑</v>
      </c>
      <c r="Q13" s="21">
        <f>(L13*(1-Q12))/100</f>
        <v>0.40700000000000003</v>
      </c>
      <c r="R13" s="21">
        <f>(M13*(1-R12))/100</f>
        <v>0.501</v>
      </c>
      <c r="S13" s="21">
        <f t="shared" si="1"/>
        <v>1.5311340000000002</v>
      </c>
      <c r="T13" s="21">
        <f t="shared" si="2"/>
        <v>0.3868128</v>
      </c>
      <c r="U13" s="21">
        <f t="shared" si="3"/>
        <v>0.058608000000000014</v>
      </c>
      <c r="V13" s="46">
        <f t="shared" si="4"/>
        <v>0.009361000000000001</v>
      </c>
      <c r="W13" s="46">
        <f t="shared" si="5"/>
        <v>0.003663</v>
      </c>
      <c r="X13" s="21">
        <f t="shared" si="6"/>
        <v>1.884762</v>
      </c>
      <c r="Y13" s="21">
        <f t="shared" si="7"/>
        <v>0.4761504</v>
      </c>
      <c r="Z13" s="21">
        <f t="shared" si="8"/>
        <v>0.07214400000000001</v>
      </c>
      <c r="AA13" s="46">
        <f t="shared" si="9"/>
        <v>0.011523</v>
      </c>
      <c r="AB13" s="46">
        <f t="shared" si="10"/>
        <v>0.004509</v>
      </c>
      <c r="AC13" s="47">
        <f t="shared" si="11"/>
        <v>0.015466</v>
      </c>
      <c r="AD13" s="47">
        <f t="shared" si="12"/>
        <v>0.0039071999999999996</v>
      </c>
      <c r="AE13" s="47">
        <f t="shared" si="13"/>
        <v>0.006512</v>
      </c>
      <c r="AF13" s="47">
        <f t="shared" si="14"/>
        <v>0.019038</v>
      </c>
      <c r="AG13" s="47">
        <f t="shared" si="15"/>
        <v>0.0048096</v>
      </c>
      <c r="AH13" s="47">
        <f t="shared" si="16"/>
        <v>0.008016</v>
      </c>
      <c r="AI13" s="48"/>
      <c r="AJ13" s="48"/>
      <c r="AK13" s="32">
        <f t="shared" si="17"/>
        <v>0.020350000000000004</v>
      </c>
      <c r="AL13" s="32">
        <f t="shared" si="18"/>
        <v>0.025050000000000003</v>
      </c>
      <c r="AM13" s="34"/>
    </row>
    <row r="14" spans="1:39" ht="14.25">
      <c r="A14" s="409" t="s">
        <v>33</v>
      </c>
      <c r="B14" s="406" t="s">
        <v>34</v>
      </c>
      <c r="C14" s="537">
        <v>0</v>
      </c>
      <c r="D14" s="532">
        <v>0</v>
      </c>
      <c r="E14" s="532">
        <v>0</v>
      </c>
      <c r="F14" s="538">
        <v>0</v>
      </c>
      <c r="G14" s="538">
        <v>0</v>
      </c>
      <c r="H14" s="539">
        <v>0</v>
      </c>
      <c r="I14" s="415">
        <f aca="true" t="shared" si="19" ref="I14:K15">I12</f>
        <v>99</v>
      </c>
      <c r="J14" s="416">
        <f t="shared" si="19"/>
        <v>99</v>
      </c>
      <c r="K14" s="416">
        <f t="shared" si="19"/>
        <v>90</v>
      </c>
      <c r="L14" s="537">
        <v>0</v>
      </c>
      <c r="M14" s="532">
        <v>0</v>
      </c>
      <c r="N14" s="28"/>
      <c r="P14" s="26" t="str">
        <f t="shared" si="0"/>
        <v>銑鉄Ｆ</v>
      </c>
      <c r="Q14" s="21">
        <f>(L14*(1-Q12))/100</f>
        <v>0</v>
      </c>
      <c r="R14" s="21">
        <f>(M14*(1-R12))/100</f>
        <v>0</v>
      </c>
      <c r="S14" s="21">
        <f t="shared" si="1"/>
        <v>0</v>
      </c>
      <c r="T14" s="21">
        <f t="shared" si="2"/>
        <v>0</v>
      </c>
      <c r="U14" s="21">
        <f t="shared" si="3"/>
        <v>0</v>
      </c>
      <c r="V14" s="46">
        <f t="shared" si="4"/>
        <v>0</v>
      </c>
      <c r="W14" s="46">
        <f t="shared" si="5"/>
        <v>0</v>
      </c>
      <c r="X14" s="21">
        <f t="shared" si="6"/>
        <v>0</v>
      </c>
      <c r="Y14" s="21">
        <f t="shared" si="7"/>
        <v>0</v>
      </c>
      <c r="Z14" s="21">
        <f t="shared" si="8"/>
        <v>0</v>
      </c>
      <c r="AA14" s="46">
        <f t="shared" si="9"/>
        <v>0</v>
      </c>
      <c r="AB14" s="46">
        <f t="shared" si="10"/>
        <v>0</v>
      </c>
      <c r="AC14" s="47">
        <f t="shared" si="11"/>
        <v>0</v>
      </c>
      <c r="AD14" s="47">
        <f t="shared" si="12"/>
        <v>0</v>
      </c>
      <c r="AE14" s="47">
        <f t="shared" si="13"/>
        <v>0</v>
      </c>
      <c r="AF14" s="47">
        <f t="shared" si="14"/>
        <v>0</v>
      </c>
      <c r="AG14" s="47">
        <f t="shared" si="15"/>
        <v>0</v>
      </c>
      <c r="AH14" s="47">
        <f t="shared" si="16"/>
        <v>0</v>
      </c>
      <c r="AI14" s="48"/>
      <c r="AJ14" s="48"/>
      <c r="AK14" s="32">
        <f t="shared" si="17"/>
        <v>0</v>
      </c>
      <c r="AL14" s="32">
        <f t="shared" si="18"/>
        <v>0</v>
      </c>
      <c r="AM14" s="34"/>
    </row>
    <row r="15" spans="1:39" ht="14.25">
      <c r="A15" s="403"/>
      <c r="B15" s="406" t="s">
        <v>35</v>
      </c>
      <c r="C15" s="537">
        <v>0</v>
      </c>
      <c r="D15" s="532">
        <v>0</v>
      </c>
      <c r="E15" s="532">
        <v>0</v>
      </c>
      <c r="F15" s="538">
        <v>0</v>
      </c>
      <c r="G15" s="538">
        <v>0</v>
      </c>
      <c r="H15" s="539">
        <v>0</v>
      </c>
      <c r="I15" s="415">
        <f t="shared" si="19"/>
        <v>99</v>
      </c>
      <c r="J15" s="416">
        <f t="shared" si="19"/>
        <v>99</v>
      </c>
      <c r="K15" s="416">
        <f t="shared" si="19"/>
        <v>90</v>
      </c>
      <c r="L15" s="537">
        <v>0</v>
      </c>
      <c r="M15" s="532">
        <v>0</v>
      </c>
      <c r="N15" s="28"/>
      <c r="P15" s="26" t="str">
        <f t="shared" si="0"/>
        <v>銑鉄Ｂ</v>
      </c>
      <c r="Q15" s="21">
        <f>(L15*(1-Q12))/100</f>
        <v>0</v>
      </c>
      <c r="R15" s="21">
        <f>(M15*(1-R12))/100</f>
        <v>0</v>
      </c>
      <c r="S15" s="21">
        <f t="shared" si="1"/>
        <v>0</v>
      </c>
      <c r="T15" s="21">
        <f t="shared" si="2"/>
        <v>0</v>
      </c>
      <c r="U15" s="21">
        <f t="shared" si="3"/>
        <v>0</v>
      </c>
      <c r="V15" s="46">
        <f t="shared" si="4"/>
        <v>0</v>
      </c>
      <c r="W15" s="46">
        <f t="shared" si="5"/>
        <v>0</v>
      </c>
      <c r="X15" s="21">
        <f t="shared" si="6"/>
        <v>0</v>
      </c>
      <c r="Y15" s="21">
        <f t="shared" si="7"/>
        <v>0</v>
      </c>
      <c r="Z15" s="21">
        <f t="shared" si="8"/>
        <v>0</v>
      </c>
      <c r="AA15" s="46">
        <f t="shared" si="9"/>
        <v>0</v>
      </c>
      <c r="AB15" s="46">
        <f t="shared" si="10"/>
        <v>0</v>
      </c>
      <c r="AC15" s="47">
        <f t="shared" si="11"/>
        <v>0</v>
      </c>
      <c r="AD15" s="47">
        <f t="shared" si="12"/>
        <v>0</v>
      </c>
      <c r="AE15" s="47">
        <f t="shared" si="13"/>
        <v>0</v>
      </c>
      <c r="AF15" s="47">
        <f t="shared" si="14"/>
        <v>0</v>
      </c>
      <c r="AG15" s="47">
        <f t="shared" si="15"/>
        <v>0</v>
      </c>
      <c r="AH15" s="47">
        <f t="shared" si="16"/>
        <v>0</v>
      </c>
      <c r="AI15" s="48"/>
      <c r="AJ15" s="48"/>
      <c r="AK15" s="32">
        <f t="shared" si="17"/>
        <v>0</v>
      </c>
      <c r="AL15" s="32">
        <f t="shared" si="18"/>
        <v>0</v>
      </c>
      <c r="AM15" s="34"/>
    </row>
    <row r="16" spans="1:39" ht="14.25">
      <c r="A16" s="403"/>
      <c r="B16" s="406" t="s">
        <v>36</v>
      </c>
      <c r="C16" s="537">
        <v>0.1</v>
      </c>
      <c r="D16" s="532">
        <v>0.1</v>
      </c>
      <c r="E16" s="532">
        <v>0.2</v>
      </c>
      <c r="F16" s="538">
        <v>0.02</v>
      </c>
      <c r="G16" s="538">
        <v>0.01</v>
      </c>
      <c r="H16" s="539">
        <v>0.01</v>
      </c>
      <c r="I16" s="415">
        <f>I12</f>
        <v>99</v>
      </c>
      <c r="J16" s="416">
        <f>J12</f>
        <v>99</v>
      </c>
      <c r="K16" s="416">
        <f>K12</f>
        <v>90</v>
      </c>
      <c r="L16" s="537">
        <v>7</v>
      </c>
      <c r="M16" s="532">
        <v>7</v>
      </c>
      <c r="N16" s="28"/>
      <c r="P16" s="26" t="str">
        <f t="shared" si="0"/>
        <v>鋼スクラップ</v>
      </c>
      <c r="Q16" s="21">
        <f>(L16*(1-Q12))/100</f>
        <v>0.07</v>
      </c>
      <c r="R16" s="21">
        <f>(M16*(1-R12))/100</f>
        <v>0.07</v>
      </c>
      <c r="S16" s="21">
        <f t="shared" si="1"/>
        <v>0.006930000000000001</v>
      </c>
      <c r="T16" s="21">
        <f t="shared" si="2"/>
        <v>0.006930000000000001</v>
      </c>
      <c r="U16" s="21">
        <f t="shared" si="3"/>
        <v>0.0126</v>
      </c>
      <c r="V16" s="46">
        <f t="shared" si="4"/>
        <v>0.0014000000000000002</v>
      </c>
      <c r="W16" s="46">
        <f t="shared" si="5"/>
        <v>0.0007000000000000001</v>
      </c>
      <c r="X16" s="21">
        <f t="shared" si="6"/>
        <v>0.006930000000000001</v>
      </c>
      <c r="Y16" s="21">
        <f t="shared" si="7"/>
        <v>0.006930000000000001</v>
      </c>
      <c r="Z16" s="21">
        <f t="shared" si="8"/>
        <v>0.0126</v>
      </c>
      <c r="AA16" s="46">
        <f t="shared" si="9"/>
        <v>0.0014000000000000002</v>
      </c>
      <c r="AB16" s="46">
        <f t="shared" si="10"/>
        <v>0.0007000000000000001</v>
      </c>
      <c r="AC16" s="47">
        <f t="shared" si="11"/>
        <v>7.000000000000001E-05</v>
      </c>
      <c r="AD16" s="47">
        <f t="shared" si="12"/>
        <v>7.000000000000001E-05</v>
      </c>
      <c r="AE16" s="47">
        <f t="shared" si="13"/>
        <v>0.0014000000000000002</v>
      </c>
      <c r="AF16" s="47">
        <f t="shared" si="14"/>
        <v>7.000000000000001E-05</v>
      </c>
      <c r="AG16" s="47">
        <f t="shared" si="15"/>
        <v>7.000000000000001E-05</v>
      </c>
      <c r="AH16" s="47">
        <f t="shared" si="16"/>
        <v>0.0014000000000000002</v>
      </c>
      <c r="AI16" s="48"/>
      <c r="AJ16" s="48"/>
      <c r="AK16" s="32">
        <f t="shared" si="17"/>
        <v>0.0007000000000000001</v>
      </c>
      <c r="AL16" s="32">
        <f t="shared" si="18"/>
        <v>0.0007000000000000001</v>
      </c>
      <c r="AM16" s="34"/>
    </row>
    <row r="17" spans="1:39" ht="14.25">
      <c r="A17" s="403"/>
      <c r="B17" s="406" t="s">
        <v>37</v>
      </c>
      <c r="C17" s="537">
        <v>3.8</v>
      </c>
      <c r="D17" s="532">
        <v>2.7</v>
      </c>
      <c r="E17" s="532">
        <v>0.17</v>
      </c>
      <c r="F17" s="538">
        <v>0.03</v>
      </c>
      <c r="G17" s="538">
        <v>0.02</v>
      </c>
      <c r="H17" s="539">
        <v>0.01</v>
      </c>
      <c r="I17" s="415">
        <f>I12</f>
        <v>99</v>
      </c>
      <c r="J17" s="416">
        <f>J12</f>
        <v>99</v>
      </c>
      <c r="K17" s="416">
        <f>K12</f>
        <v>90</v>
      </c>
      <c r="L17" s="537">
        <v>52.3</v>
      </c>
      <c r="M17" s="532">
        <v>42.9</v>
      </c>
      <c r="N17" s="28"/>
      <c r="P17" s="26" t="str">
        <f t="shared" si="0"/>
        <v>戻　り　材</v>
      </c>
      <c r="Q17" s="21">
        <f>(L17*(1-Q12))/100</f>
        <v>0.523</v>
      </c>
      <c r="R17" s="21">
        <f>(M17*(1-R12))/100</f>
        <v>0.429</v>
      </c>
      <c r="S17" s="21">
        <f t="shared" si="1"/>
        <v>1.967526</v>
      </c>
      <c r="T17" s="21">
        <f t="shared" si="2"/>
        <v>1.397979</v>
      </c>
      <c r="U17" s="21">
        <f t="shared" si="3"/>
        <v>0.080019</v>
      </c>
      <c r="V17" s="46">
        <f t="shared" si="4"/>
        <v>0.01569</v>
      </c>
      <c r="W17" s="46">
        <f t="shared" si="5"/>
        <v>0.01046</v>
      </c>
      <c r="X17" s="21">
        <f t="shared" si="6"/>
        <v>1.613898</v>
      </c>
      <c r="Y17" s="21">
        <f t="shared" si="7"/>
        <v>1.146717</v>
      </c>
      <c r="Z17" s="21">
        <f t="shared" si="8"/>
        <v>0.065637</v>
      </c>
      <c r="AA17" s="46">
        <f t="shared" si="9"/>
        <v>0.01287</v>
      </c>
      <c r="AB17" s="46">
        <f t="shared" si="10"/>
        <v>0.00858</v>
      </c>
      <c r="AC17" s="47">
        <f t="shared" si="11"/>
        <v>0.019874</v>
      </c>
      <c r="AD17" s="47">
        <f t="shared" si="12"/>
        <v>0.014121000000000002</v>
      </c>
      <c r="AE17" s="47">
        <f t="shared" si="13"/>
        <v>0.008891000000000001</v>
      </c>
      <c r="AF17" s="47">
        <f t="shared" si="14"/>
        <v>0.016302</v>
      </c>
      <c r="AG17" s="47">
        <f t="shared" si="15"/>
        <v>0.011583000000000001</v>
      </c>
      <c r="AH17" s="47">
        <f t="shared" si="16"/>
        <v>0.007293</v>
      </c>
      <c r="AI17" s="48"/>
      <c r="AJ17" s="48"/>
      <c r="AK17" s="32">
        <f t="shared" si="17"/>
        <v>0.00523</v>
      </c>
      <c r="AL17" s="32">
        <f t="shared" si="18"/>
        <v>0.00429</v>
      </c>
      <c r="AM17" s="34"/>
    </row>
    <row r="18" spans="1:39" ht="14.25">
      <c r="A18" s="407"/>
      <c r="B18" s="408" t="s">
        <v>38</v>
      </c>
      <c r="C18" s="59"/>
      <c r="D18" s="540">
        <v>75</v>
      </c>
      <c r="E18" s="54"/>
      <c r="F18" s="54"/>
      <c r="G18" s="54"/>
      <c r="H18" s="60"/>
      <c r="I18" s="59"/>
      <c r="J18" s="540">
        <v>95</v>
      </c>
      <c r="K18" s="54"/>
      <c r="L18" s="418">
        <f>T20</f>
        <v>0.06477642105263158</v>
      </c>
      <c r="M18" s="417">
        <f>Y20</f>
        <v>0.2920387368421055</v>
      </c>
      <c r="N18" s="61" t="str">
        <f>IF(L18&gt;=0,"ＯＫ","左側Siが過剰です")</f>
        <v>ＯＫ</v>
      </c>
      <c r="P18" s="42" t="s">
        <v>39</v>
      </c>
      <c r="Q18" s="57">
        <f aca="true" t="shared" si="20" ref="Q18:AH18">SUM(Q12:Q17)</f>
        <v>1</v>
      </c>
      <c r="R18" s="57">
        <f t="shared" si="20"/>
        <v>1</v>
      </c>
      <c r="S18" s="57">
        <f t="shared" si="20"/>
        <v>3.5055900000000007</v>
      </c>
      <c r="T18" s="57">
        <f t="shared" si="20"/>
        <v>1.7917218000000001</v>
      </c>
      <c r="U18" s="57">
        <f t="shared" si="20"/>
        <v>0.15122700000000003</v>
      </c>
      <c r="V18" s="62">
        <f t="shared" si="20"/>
        <v>0.026451000000000002</v>
      </c>
      <c r="W18" s="62">
        <f t="shared" si="20"/>
        <v>0.014823000000000001</v>
      </c>
      <c r="X18" s="57">
        <f t="shared" si="20"/>
        <v>3.50559</v>
      </c>
      <c r="Y18" s="57">
        <f t="shared" si="20"/>
        <v>1.6297974</v>
      </c>
      <c r="Z18" s="57">
        <f t="shared" si="20"/>
        <v>0.15038100000000001</v>
      </c>
      <c r="AA18" s="62">
        <f t="shared" si="20"/>
        <v>0.025793</v>
      </c>
      <c r="AB18" s="62">
        <f t="shared" si="20"/>
        <v>0.013789000000000001</v>
      </c>
      <c r="AC18" s="62">
        <f t="shared" si="20"/>
        <v>0.03541</v>
      </c>
      <c r="AD18" s="62">
        <f t="shared" si="20"/>
        <v>0.018098200000000002</v>
      </c>
      <c r="AE18" s="62">
        <f t="shared" si="20"/>
        <v>0.016803000000000002</v>
      </c>
      <c r="AF18" s="62">
        <f t="shared" si="20"/>
        <v>0.03541</v>
      </c>
      <c r="AG18" s="62">
        <f t="shared" si="20"/>
        <v>0.0164626</v>
      </c>
      <c r="AH18" s="62">
        <f t="shared" si="20"/>
        <v>0.016709</v>
      </c>
      <c r="AI18" s="53">
        <f>SUM(AC18:AE18)</f>
        <v>0.0703112</v>
      </c>
      <c r="AJ18" s="53">
        <f>SUM(AF18:AH18)</f>
        <v>0.06858159999999999</v>
      </c>
      <c r="AK18" s="54">
        <f>SUM(AK12:AK17)</f>
        <v>0.026280000000000005</v>
      </c>
      <c r="AL18" s="54">
        <f>SUM(AL12:AL17)</f>
        <v>0.030040000000000004</v>
      </c>
      <c r="AM18" s="34"/>
    </row>
    <row r="19" spans="1:39" ht="15" thickBot="1" thickTop="1">
      <c r="A19" s="409" t="s">
        <v>40</v>
      </c>
      <c r="B19" s="406" t="s">
        <v>41</v>
      </c>
      <c r="C19" s="63"/>
      <c r="D19" s="32"/>
      <c r="E19" s="539">
        <v>75</v>
      </c>
      <c r="F19" s="32"/>
      <c r="G19" s="32"/>
      <c r="H19" s="539">
        <v>99</v>
      </c>
      <c r="I19" s="63"/>
      <c r="J19" s="32"/>
      <c r="K19" s="539">
        <v>90</v>
      </c>
      <c r="L19" s="419">
        <f>AK21</f>
        <v>0.7561391694725028</v>
      </c>
      <c r="M19" s="412">
        <f>AL21</f>
        <v>0.751919191919192</v>
      </c>
      <c r="N19" s="61" t="str">
        <f>IF(M18&gt;=0,"ＯＫ","右側Siが過剰です")</f>
        <v>ＯＫ</v>
      </c>
      <c r="P19" s="64" t="s">
        <v>42</v>
      </c>
      <c r="Q19" s="52"/>
      <c r="R19" s="52"/>
      <c r="S19" s="57">
        <f>B6-S18</f>
        <v>0.2944099999999992</v>
      </c>
      <c r="T19" s="57">
        <f>D23-T18</f>
        <v>0.046153200000000005</v>
      </c>
      <c r="U19" s="57">
        <f>D6-U18</f>
        <v>0.548773</v>
      </c>
      <c r="V19" s="53"/>
      <c r="W19" s="53"/>
      <c r="X19" s="57">
        <f>B7-X18</f>
        <v>0.2944099999999996</v>
      </c>
      <c r="Y19" s="57">
        <f>D24-Y18</f>
        <v>0.2080776000000002</v>
      </c>
      <c r="Z19" s="57">
        <f>D7-Z18</f>
        <v>0.549619</v>
      </c>
      <c r="AA19" s="53"/>
      <c r="AB19" s="53"/>
      <c r="AC19" s="65"/>
      <c r="AD19" s="65"/>
      <c r="AE19" s="65"/>
      <c r="AF19" s="65"/>
      <c r="AG19" s="65"/>
      <c r="AH19" s="65"/>
      <c r="AI19" s="60"/>
      <c r="AJ19" s="60"/>
      <c r="AK19" s="54">
        <f>D6-AK18</f>
        <v>0.67372</v>
      </c>
      <c r="AL19" s="54">
        <f>D7-AL18</f>
        <v>0.66996</v>
      </c>
      <c r="AM19" s="66" t="s">
        <v>43</v>
      </c>
    </row>
    <row r="20" spans="1:39" ht="15.75" customHeight="1" thickBot="1" thickTop="1">
      <c r="A20" s="403"/>
      <c r="B20" s="406" t="s">
        <v>44</v>
      </c>
      <c r="C20" s="541">
        <v>95</v>
      </c>
      <c r="D20" s="32"/>
      <c r="E20" s="32"/>
      <c r="F20" s="32"/>
      <c r="G20" s="32"/>
      <c r="H20" s="48"/>
      <c r="I20" s="541">
        <v>90</v>
      </c>
      <c r="J20" s="32"/>
      <c r="K20" s="32"/>
      <c r="L20" s="419">
        <f>S22</f>
        <v>0.3443391812865487</v>
      </c>
      <c r="M20" s="412">
        <f>X22</f>
        <v>0.3443391812865492</v>
      </c>
      <c r="N20" s="61" t="str">
        <f>IF(L20&gt;=0,"ＯＫ","左側Ｃが過剰です")</f>
        <v>ＯＫ</v>
      </c>
      <c r="P20" s="67"/>
      <c r="Q20" s="68" t="str">
        <f>B18</f>
        <v>Ｆｅ－Ｓｉ</v>
      </c>
      <c r="R20" s="52"/>
      <c r="S20" s="52"/>
      <c r="T20" s="57">
        <f>((T19/D18/J18)*10000)/(Q18-Q12)</f>
        <v>0.06477642105263158</v>
      </c>
      <c r="U20" s="52"/>
      <c r="V20" s="60"/>
      <c r="W20" s="60"/>
      <c r="X20" s="52"/>
      <c r="Y20" s="57">
        <f>((Y19/D18/J18)*10000)/(R18-R12)</f>
        <v>0.2920387368421055</v>
      </c>
      <c r="Z20" s="52"/>
      <c r="AA20" s="53"/>
      <c r="AB20" s="53"/>
      <c r="AC20" s="47"/>
      <c r="AD20" s="47">
        <f>T20*D18/100*(100-J18)/100</f>
        <v>0.0024291157894736843</v>
      </c>
      <c r="AE20" s="47"/>
      <c r="AF20" s="47"/>
      <c r="AG20" s="47">
        <f>Y20*D18/100*(100-J18)/100</f>
        <v>0.010951452631578958</v>
      </c>
      <c r="AH20" s="47"/>
      <c r="AI20" s="48"/>
      <c r="AJ20" s="48"/>
      <c r="AK20" s="60"/>
      <c r="AL20" s="60"/>
      <c r="AM20" s="34"/>
    </row>
    <row r="21" spans="1:39" ht="15" thickBot="1" thickTop="1">
      <c r="A21" s="22"/>
      <c r="B21" s="22"/>
      <c r="C21" s="22"/>
      <c r="D21" s="22"/>
      <c r="E21" s="22"/>
      <c r="F21" s="22"/>
      <c r="G21" s="69"/>
      <c r="H21" s="22"/>
      <c r="I21" s="22"/>
      <c r="J21" s="22"/>
      <c r="K21" s="70" t="s">
        <v>39</v>
      </c>
      <c r="L21" s="418">
        <f>SUM(L13:L20)</f>
        <v>101.16525477181168</v>
      </c>
      <c r="M21" s="417">
        <f>SUM(M13:M20)</f>
        <v>101.38829711004783</v>
      </c>
      <c r="N21" s="61" t="str">
        <f>IF(M20&gt;=0,"ＯＫ","右側Ｃが過剰です")</f>
        <v>ＯＫ</v>
      </c>
      <c r="P21" s="71" t="s">
        <v>45</v>
      </c>
      <c r="Q21" s="72" t="str">
        <f>B19</f>
        <v>Ｃｕ</v>
      </c>
      <c r="R21" s="19"/>
      <c r="S21" s="19"/>
      <c r="T21" s="19"/>
      <c r="U21" s="21">
        <f>((U19/E19/K19)*10000)/(Q18-Q12)</f>
        <v>0.8129970370370369</v>
      </c>
      <c r="V21" s="48"/>
      <c r="W21" s="48"/>
      <c r="X21" s="19"/>
      <c r="Y21" s="19"/>
      <c r="Z21" s="21">
        <f>((Z19/E19/K19)*10000)/(R18-R12)</f>
        <v>0.8142503703703704</v>
      </c>
      <c r="AA21" s="73"/>
      <c r="AB21" s="73"/>
      <c r="AC21" s="47"/>
      <c r="AD21" s="47"/>
      <c r="AE21" s="47">
        <f>U21*E19/100*(100-K19)/100</f>
        <v>0.06097477777777777</v>
      </c>
      <c r="AF21" s="47"/>
      <c r="AG21" s="47"/>
      <c r="AH21" s="47">
        <f>Z21*E19/100*(100-K19)/100</f>
        <v>0.06106877777777778</v>
      </c>
      <c r="AI21" s="48"/>
      <c r="AJ21" s="48"/>
      <c r="AK21" s="32">
        <f>AK19/H19*100/K19*100</f>
        <v>0.7561391694725028</v>
      </c>
      <c r="AL21" s="32">
        <f>AL19/H19*100/K19*100</f>
        <v>0.751919191919192</v>
      </c>
      <c r="AM21" s="74" t="s">
        <v>46</v>
      </c>
    </row>
    <row r="22" spans="1:39" ht="15" thickBot="1" thickTop="1">
      <c r="A22" s="563" t="s">
        <v>47</v>
      </c>
      <c r="B22" s="564"/>
      <c r="C22" s="395" t="s">
        <v>8</v>
      </c>
      <c r="D22" s="395" t="s">
        <v>9</v>
      </c>
      <c r="E22" s="395" t="s">
        <v>27</v>
      </c>
      <c r="F22" s="395" t="s">
        <v>28</v>
      </c>
      <c r="G22" s="395" t="s">
        <v>29</v>
      </c>
      <c r="H22" s="15"/>
      <c r="J22" s="75"/>
      <c r="K22" s="23"/>
      <c r="L22" s="23"/>
      <c r="M22" s="23"/>
      <c r="P22" s="76" t="s">
        <v>48</v>
      </c>
      <c r="Q22" s="72" t="str">
        <f>B20</f>
        <v>加　炭　材</v>
      </c>
      <c r="R22" s="19"/>
      <c r="S22" s="21">
        <f>((S19/C20/I20)*10000)/(Q18-Q12)</f>
        <v>0.3443391812865487</v>
      </c>
      <c r="T22" s="19"/>
      <c r="U22" s="19"/>
      <c r="V22" s="48"/>
      <c r="W22" s="48"/>
      <c r="X22" s="21">
        <f>((X19/C20/I20)*10000)/(R18-R12)</f>
        <v>0.3443391812865492</v>
      </c>
      <c r="Y22" s="19"/>
      <c r="Z22" s="19"/>
      <c r="AA22" s="73"/>
      <c r="AB22" s="73"/>
      <c r="AC22" s="47"/>
      <c r="AD22" s="47"/>
      <c r="AE22" s="47"/>
      <c r="AF22" s="47"/>
      <c r="AG22" s="47"/>
      <c r="AH22" s="47"/>
      <c r="AI22" s="48"/>
      <c r="AJ22" s="48"/>
      <c r="AK22" s="48"/>
      <c r="AL22" s="48"/>
      <c r="AM22" s="34"/>
    </row>
    <row r="23" spans="1:39" ht="15" thickBot="1" thickTop="1">
      <c r="A23" s="399" t="s">
        <v>49</v>
      </c>
      <c r="B23" s="487" t="str">
        <f>L11</f>
        <v>方案歩留り５０％</v>
      </c>
      <c r="C23" s="411">
        <f>B6</f>
        <v>3.8</v>
      </c>
      <c r="D23" s="411">
        <f>C6-K6-K7</f>
        <v>1.8378750000000001</v>
      </c>
      <c r="E23" s="411">
        <f>U18</f>
        <v>0.15122700000000003</v>
      </c>
      <c r="F23" s="420">
        <f>V18</f>
        <v>0.026451000000000002</v>
      </c>
      <c r="G23" s="420">
        <f>W18</f>
        <v>0.014823000000000001</v>
      </c>
      <c r="H23" s="15"/>
      <c r="I23" s="400" t="s">
        <v>50</v>
      </c>
      <c r="J23" s="423"/>
      <c r="K23" s="423"/>
      <c r="L23" s="422">
        <f>L24*100</f>
        <v>52.329682347257645</v>
      </c>
      <c r="M23" s="422">
        <f>M24*100</f>
        <v>42.86311095928511</v>
      </c>
      <c r="N23" s="66"/>
      <c r="P23" s="6"/>
      <c r="Q23" s="6"/>
      <c r="R23" s="6"/>
      <c r="S23" s="6"/>
      <c r="T23" s="6"/>
      <c r="U23" s="6"/>
      <c r="V23" s="6"/>
      <c r="W23" s="6"/>
      <c r="X23" s="6"/>
      <c r="Y23" s="6"/>
      <c r="Z23" s="26" t="s">
        <v>51</v>
      </c>
      <c r="AA23" s="30"/>
      <c r="AB23" s="31"/>
      <c r="AC23" s="62">
        <f>AC18+AC22</f>
        <v>0.03541</v>
      </c>
      <c r="AD23" s="62">
        <f>AD18+AD20</f>
        <v>0.020527315789473685</v>
      </c>
      <c r="AE23" s="62">
        <f>AE18+AE21</f>
        <v>0.07777777777777777</v>
      </c>
      <c r="AF23" s="62">
        <f>AF18+AF22</f>
        <v>0.03541</v>
      </c>
      <c r="AG23" s="62">
        <f>AG18+AG20</f>
        <v>0.027414052631578957</v>
      </c>
      <c r="AH23" s="62">
        <f>AH18+AH21</f>
        <v>0.07777777777777778</v>
      </c>
      <c r="AI23" s="53">
        <f>SUM(AC23:AE23)</f>
        <v>0.13371509356725145</v>
      </c>
      <c r="AJ23" s="53">
        <f>SUM(AF23:AH23)</f>
        <v>0.14060183040935673</v>
      </c>
      <c r="AK23" s="60"/>
      <c r="AL23" s="60"/>
      <c r="AM23" s="34"/>
    </row>
    <row r="24" spans="1:38" ht="14.25">
      <c r="A24" s="424" t="s">
        <v>52</v>
      </c>
      <c r="B24" s="488" t="str">
        <f>M11</f>
        <v>方案歩留り６０％</v>
      </c>
      <c r="C24" s="412">
        <f>B7</f>
        <v>3.8</v>
      </c>
      <c r="D24" s="412">
        <f>C7-K6-K7</f>
        <v>1.8378750000000001</v>
      </c>
      <c r="E24" s="412">
        <f>Z18</f>
        <v>0.15038100000000001</v>
      </c>
      <c r="F24" s="421">
        <f>AA18</f>
        <v>0.025793</v>
      </c>
      <c r="G24" s="421">
        <f>AB18</f>
        <v>0.013789000000000001</v>
      </c>
      <c r="H24" s="15"/>
      <c r="I24" s="400" t="s">
        <v>53</v>
      </c>
      <c r="J24" s="423"/>
      <c r="K24" s="423"/>
      <c r="L24" s="47">
        <f>'操業条件'!C20</f>
        <v>0.5232968234725764</v>
      </c>
      <c r="M24" s="47">
        <f>'操業条件'!D20</f>
        <v>0.42863110959285106</v>
      </c>
      <c r="N24" s="66"/>
      <c r="Z24" s="16" t="s">
        <v>54</v>
      </c>
      <c r="AA24" s="35"/>
      <c r="AB24" s="36"/>
      <c r="AC24" s="79">
        <f>AC23*AI24/100</f>
        <v>0.028328</v>
      </c>
      <c r="AD24" s="79">
        <f>AD23*AI24/100</f>
        <v>0.01642185263157895</v>
      </c>
      <c r="AE24" s="79">
        <f>AE23*AI24/100</f>
        <v>0.062222222222222213</v>
      </c>
      <c r="AF24" s="79">
        <f>AF23*AI24/100</f>
        <v>0.028328</v>
      </c>
      <c r="AG24" s="79">
        <f>AG23*AI24/100</f>
        <v>0.021931242105263163</v>
      </c>
      <c r="AH24" s="79">
        <f>AH23*AI24/100</f>
        <v>0.06222222222222222</v>
      </c>
      <c r="AI24" s="54">
        <f>100-AI25</f>
        <v>80</v>
      </c>
      <c r="AJ24" s="80" t="s">
        <v>55</v>
      </c>
      <c r="AK24" s="18"/>
      <c r="AL24" s="18"/>
    </row>
    <row r="25" spans="1:36" ht="14.25">
      <c r="A25" s="22"/>
      <c r="B25" s="81" t="s">
        <v>56</v>
      </c>
      <c r="C25" s="82"/>
      <c r="D25" s="22"/>
      <c r="E25" s="22"/>
      <c r="F25" s="22"/>
      <c r="G25" s="22"/>
      <c r="I25" s="33"/>
      <c r="J25" s="33"/>
      <c r="K25" s="6"/>
      <c r="L25" s="6"/>
      <c r="M25" s="6"/>
      <c r="Z25" s="26" t="s">
        <v>57</v>
      </c>
      <c r="AA25" s="30"/>
      <c r="AB25" s="30"/>
      <c r="AC25" s="83">
        <f>AC23*AI25/100</f>
        <v>0.007082</v>
      </c>
      <c r="AD25" s="83">
        <f>AD23*AI25/100</f>
        <v>0.004105463157894737</v>
      </c>
      <c r="AE25" s="83">
        <f>AE23*AI25/100</f>
        <v>0.015555555555555553</v>
      </c>
      <c r="AF25" s="83">
        <f>AF23*AI25/100</f>
        <v>0.007082</v>
      </c>
      <c r="AG25" s="83">
        <f>AG23*AI25/100</f>
        <v>0.005482810526315791</v>
      </c>
      <c r="AH25" s="83">
        <f>AH23*AI25/100</f>
        <v>0.015555555555555555</v>
      </c>
      <c r="AI25" s="66">
        <f>'操業条件'!H15</f>
        <v>20</v>
      </c>
      <c r="AJ25" t="s">
        <v>55</v>
      </c>
    </row>
    <row r="26" spans="26:35" ht="14.25">
      <c r="Z26" s="16" t="s">
        <v>58</v>
      </c>
      <c r="AA26" s="35"/>
      <c r="AB26" s="36"/>
      <c r="AC26" s="79"/>
      <c r="AD26" s="79">
        <f>AD24*60/28</f>
        <v>0.035189684210526324</v>
      </c>
      <c r="AE26" s="79"/>
      <c r="AF26" s="79"/>
      <c r="AG26" s="79">
        <f>AG24*60/28</f>
        <v>0.04699551879699249</v>
      </c>
      <c r="AH26" s="79"/>
      <c r="AI26" s="34"/>
    </row>
    <row r="27" spans="1:35" ht="14.25">
      <c r="A27" t="s">
        <v>59</v>
      </c>
      <c r="Z27" s="26" t="s">
        <v>60</v>
      </c>
      <c r="AA27" s="30"/>
      <c r="AB27" s="31"/>
      <c r="AC27" s="47"/>
      <c r="AD27" s="47"/>
      <c r="AE27" s="47">
        <f>AE24*70.94/54.94</f>
        <v>0.08034300044492981</v>
      </c>
      <c r="AF27" s="47"/>
      <c r="AG27" s="47"/>
      <c r="AH27" s="47">
        <f>AH24*70.94/54.94</f>
        <v>0.08034300044492983</v>
      </c>
      <c r="AI27" s="34"/>
    </row>
    <row r="28" spans="1:35" ht="14.25">
      <c r="A28" t="s">
        <v>61</v>
      </c>
      <c r="Z28" s="489" t="s">
        <v>62</v>
      </c>
      <c r="AA28" s="30"/>
      <c r="AB28" s="30"/>
      <c r="AC28" s="47"/>
      <c r="AD28" s="47">
        <f>AD25*60/28</f>
        <v>0.008797421052631581</v>
      </c>
      <c r="AE28" s="47"/>
      <c r="AF28" s="47"/>
      <c r="AG28" s="47">
        <f>AG25*60/28</f>
        <v>0.011748879699248123</v>
      </c>
      <c r="AH28" s="47"/>
      <c r="AI28" s="34"/>
    </row>
    <row r="29" spans="26:35" ht="14.25">
      <c r="Z29" s="489" t="s">
        <v>63</v>
      </c>
      <c r="AA29" s="30"/>
      <c r="AB29" s="30"/>
      <c r="AC29" s="47"/>
      <c r="AD29" s="47"/>
      <c r="AE29" s="47">
        <f>AE25*70.94/54.94</f>
        <v>0.020085750111232453</v>
      </c>
      <c r="AF29" s="47"/>
      <c r="AG29" s="47"/>
      <c r="AH29" s="47">
        <f>AH25*70.94/54.94</f>
        <v>0.020085750111232457</v>
      </c>
      <c r="AI29" s="34"/>
    </row>
    <row r="30" spans="1:35" ht="14.25">
      <c r="A30" t="s">
        <v>64</v>
      </c>
      <c r="Z30" s="50" t="s">
        <v>65</v>
      </c>
      <c r="AA30" s="84"/>
      <c r="AB30" s="84"/>
      <c r="AC30" s="85"/>
      <c r="AD30" s="85">
        <f>AD26+AD28</f>
        <v>0.043987105263157904</v>
      </c>
      <c r="AE30" s="85">
        <f>AE27+AE29</f>
        <v>0.10042875055616227</v>
      </c>
      <c r="AF30" s="85"/>
      <c r="AG30" s="85">
        <f>AG26+AG28</f>
        <v>0.058744398496240614</v>
      </c>
      <c r="AH30" s="85">
        <f>AH27+AH29</f>
        <v>0.10042875055616228</v>
      </c>
      <c r="AI30" s="34"/>
    </row>
    <row r="31" spans="26:34" ht="14.25">
      <c r="Z31" s="33"/>
      <c r="AA31" s="33"/>
      <c r="AB31" s="33"/>
      <c r="AC31" s="33"/>
      <c r="AD31" s="33"/>
      <c r="AE31" s="6"/>
      <c r="AF31" s="6"/>
      <c r="AG31" s="6"/>
      <c r="AH31" s="6"/>
    </row>
    <row r="32" spans="1:35" ht="14.25">
      <c r="A32" t="s">
        <v>66</v>
      </c>
      <c r="Z32" s="489" t="s">
        <v>67</v>
      </c>
      <c r="AA32" s="30"/>
      <c r="AB32" s="30"/>
      <c r="AC32" s="47">
        <f>AC25*55.85/12</f>
        <v>0.032960808333333334</v>
      </c>
      <c r="AD32" s="47">
        <f>AD25*111.7/28</f>
        <v>0.01637786552631579</v>
      </c>
      <c r="AE32" s="47">
        <f>AE25*55.85/55.85</f>
        <v>0.015555555555555553</v>
      </c>
      <c r="AF32" s="47">
        <f>AF25*55.85/12</f>
        <v>0.032960808333333334</v>
      </c>
      <c r="AG32" s="47">
        <f>AG25*111.7/28</f>
        <v>0.02187249770676692</v>
      </c>
      <c r="AH32" s="47">
        <f>AH25*55.85/55.85</f>
        <v>0.015555555555555555</v>
      </c>
      <c r="AI32" s="34"/>
    </row>
    <row r="33" spans="2:35" ht="14.25">
      <c r="B33" s="86" t="s">
        <v>68</v>
      </c>
      <c r="C33" s="43"/>
      <c r="D33" s="43"/>
      <c r="E33" s="43"/>
      <c r="F33" s="43"/>
      <c r="G33" s="43"/>
      <c r="H33" s="43"/>
      <c r="I33" s="43"/>
      <c r="J33" s="43"/>
      <c r="K33" s="43"/>
      <c r="L33" s="43"/>
      <c r="M33" s="43"/>
      <c r="Z33" s="38"/>
      <c r="AA33" s="2"/>
      <c r="AB33" s="1" t="s">
        <v>69</v>
      </c>
      <c r="AC33" s="47"/>
      <c r="AD33" s="87">
        <f>AC32+AD32+AE32</f>
        <v>0.06489422941520469</v>
      </c>
      <c r="AE33" s="87"/>
      <c r="AF33" s="47"/>
      <c r="AG33" s="87">
        <f>AF32+AG32+AH32</f>
        <v>0.07038886159565581</v>
      </c>
      <c r="AH33" s="87"/>
      <c r="AI33" s="34"/>
    </row>
    <row r="34" spans="26:35" ht="14.25">
      <c r="Z34" s="26" t="s">
        <v>70</v>
      </c>
      <c r="AA34" s="30"/>
      <c r="AB34" s="31"/>
      <c r="AC34" s="47">
        <f>L20*(100-I20)/100</f>
        <v>0.03443391812865487</v>
      </c>
      <c r="AD34" s="47"/>
      <c r="AE34" s="47"/>
      <c r="AF34" s="47">
        <f>M20*(100-I20)/100</f>
        <v>0.03443391812865492</v>
      </c>
      <c r="AG34" s="47"/>
      <c r="AH34" s="47"/>
      <c r="AI34" s="34"/>
    </row>
    <row r="35" spans="1:34" ht="14.25">
      <c r="A35" t="s">
        <v>71</v>
      </c>
      <c r="C35" s="43"/>
      <c r="D35" s="43"/>
      <c r="E35" s="43"/>
      <c r="Z35" s="6"/>
      <c r="AA35" s="6"/>
      <c r="AB35" s="33"/>
      <c r="AC35" s="6"/>
      <c r="AD35" s="6"/>
      <c r="AE35" s="6"/>
      <c r="AF35" s="6"/>
      <c r="AG35" s="6"/>
      <c r="AH35" s="6"/>
    </row>
    <row r="36" spans="2:26" ht="14.25">
      <c r="B36" t="s">
        <v>72</v>
      </c>
      <c r="Z36" s="88" t="s">
        <v>73</v>
      </c>
    </row>
    <row r="37" ht="14.25">
      <c r="Z37" t="s">
        <v>74</v>
      </c>
    </row>
    <row r="38" spans="26:28" ht="14.25">
      <c r="Z38" t="s">
        <v>75</v>
      </c>
      <c r="AB38" s="88" t="s">
        <v>76</v>
      </c>
    </row>
    <row r="39" ht="14.25">
      <c r="AB39" t="s">
        <v>77</v>
      </c>
    </row>
    <row r="40" ht="14.25">
      <c r="AB40" t="s">
        <v>78</v>
      </c>
    </row>
  </sheetData>
  <mergeCells count="10">
    <mergeCell ref="C10:H10"/>
    <mergeCell ref="A22:B22"/>
    <mergeCell ref="S10:W10"/>
    <mergeCell ref="Q10:R10"/>
    <mergeCell ref="I10:K10"/>
    <mergeCell ref="L10:M10"/>
    <mergeCell ref="AC10:AE10"/>
    <mergeCell ref="AF10:AH10"/>
    <mergeCell ref="AI9:AJ9"/>
    <mergeCell ref="X10:AB10"/>
  </mergeCells>
  <printOptions/>
  <pageMargins left="0.5" right="0.5861111111111111" top="0.7875" bottom="0.586111111111111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T63"/>
  <sheetViews>
    <sheetView showGridLines="0" showOutlineSymbols="0" workbookViewId="0" topLeftCell="A1">
      <selection activeCell="G2" sqref="G2"/>
    </sheetView>
  </sheetViews>
  <sheetFormatPr defaultColWidth="9.00390625" defaultRowHeight="14.25"/>
  <cols>
    <col min="1" max="1" width="6.75390625" style="0" customWidth="1"/>
    <col min="2" max="2" width="15.50390625" style="0" customWidth="1"/>
    <col min="3" max="3" width="11.75390625" style="0" customWidth="1"/>
    <col min="4" max="7" width="13.125" style="0" customWidth="1"/>
    <col min="8" max="8" width="6.75390625" style="0" customWidth="1"/>
    <col min="9" max="11" width="7.75390625" style="0" customWidth="1"/>
    <col min="12" max="12" width="8.75390625" style="0" customWidth="1"/>
    <col min="13" max="16384" width="10.75390625" style="0" customWidth="1"/>
  </cols>
  <sheetData>
    <row r="1" spans="2:20" ht="15.75">
      <c r="B1" s="189"/>
      <c r="C1" s="10" t="str">
        <f>'配合'!B1</f>
        <v>【鋳鉄の原価計算】</v>
      </c>
      <c r="F1" s="90" t="s">
        <v>865</v>
      </c>
      <c r="G1" s="189"/>
      <c r="H1" s="189"/>
      <c r="I1" s="189"/>
      <c r="J1" s="189"/>
      <c r="K1" s="189"/>
      <c r="L1" s="189"/>
      <c r="M1" s="189"/>
      <c r="N1" s="189"/>
      <c r="O1" s="189"/>
      <c r="P1" s="189"/>
      <c r="Q1" s="189"/>
      <c r="R1" s="189"/>
      <c r="S1" s="189"/>
      <c r="T1" s="189"/>
    </row>
    <row r="2" spans="2:20" ht="13.5" customHeight="1">
      <c r="B2" s="190" t="s">
        <v>449</v>
      </c>
      <c r="C2" s="191"/>
      <c r="D2" s="189"/>
      <c r="E2" s="189"/>
      <c r="F2" s="189"/>
      <c r="G2" s="192"/>
      <c r="M2" s="189"/>
      <c r="N2" s="189"/>
      <c r="O2" s="189"/>
      <c r="P2" s="189"/>
      <c r="Q2" s="189"/>
      <c r="R2" s="189"/>
      <c r="S2" s="189"/>
      <c r="T2" s="189"/>
    </row>
    <row r="3" spans="2:20" ht="14.25">
      <c r="B3" s="193"/>
      <c r="C3" s="185"/>
      <c r="D3" s="194" t="s">
        <v>450</v>
      </c>
      <c r="E3" s="185"/>
      <c r="F3" s="194" t="s">
        <v>451</v>
      </c>
      <c r="G3" s="185"/>
      <c r="H3" s="28"/>
      <c r="M3" s="189"/>
      <c r="N3" s="189"/>
      <c r="O3" s="189"/>
      <c r="P3" s="189"/>
      <c r="Q3" s="189"/>
      <c r="R3" s="189"/>
      <c r="S3" s="189"/>
      <c r="T3" s="189"/>
    </row>
    <row r="4" spans="2:20" ht="15" thickBot="1">
      <c r="B4" s="195"/>
      <c r="C4" s="189"/>
      <c r="D4" s="196" t="str">
        <f>'配合'!L11</f>
        <v>方案歩留り５０％</v>
      </c>
      <c r="E4" s="197" t="str">
        <f>'配合'!M11</f>
        <v>方案歩留り６０％</v>
      </c>
      <c r="F4" s="196" t="str">
        <f>'配合'!L11</f>
        <v>方案歩留り５０％</v>
      </c>
      <c r="G4" s="197" t="str">
        <f>'配合'!M11</f>
        <v>方案歩留り６０％</v>
      </c>
      <c r="H4" s="28"/>
      <c r="M4" s="189"/>
      <c r="N4" s="189"/>
      <c r="O4" s="189"/>
      <c r="P4" s="189"/>
      <c r="Q4" s="189"/>
      <c r="R4" s="189"/>
      <c r="S4" s="189"/>
      <c r="T4" s="189"/>
    </row>
    <row r="5" spans="2:20" ht="15" thickTop="1">
      <c r="B5" s="588" t="s">
        <v>452</v>
      </c>
      <c r="C5" s="589"/>
      <c r="D5" s="193"/>
      <c r="E5" s="200"/>
      <c r="F5" s="201">
        <f>'操業条件'!C5</f>
        <v>599.542</v>
      </c>
      <c r="G5" s="202">
        <f>'操業条件'!D5</f>
        <v>719.494</v>
      </c>
      <c r="H5" s="28"/>
      <c r="M5" s="189"/>
      <c r="N5" s="189"/>
      <c r="O5" s="189"/>
      <c r="P5" s="189"/>
      <c r="Q5" s="189"/>
      <c r="R5" s="189"/>
      <c r="S5" s="189"/>
      <c r="T5" s="189"/>
    </row>
    <row r="6" spans="2:20" ht="14.25">
      <c r="B6" s="590" t="s">
        <v>453</v>
      </c>
      <c r="C6" s="591"/>
      <c r="D6" s="204"/>
      <c r="E6" s="205"/>
      <c r="F6" s="206">
        <f>'操業条件'!C6</f>
        <v>50</v>
      </c>
      <c r="G6" s="207">
        <f>'操業条件'!D6</f>
        <v>50</v>
      </c>
      <c r="H6" s="28"/>
      <c r="M6" s="189"/>
      <c r="N6" s="189"/>
      <c r="O6" s="189"/>
      <c r="P6" s="189"/>
      <c r="Q6" s="189"/>
      <c r="R6" s="189"/>
      <c r="S6" s="189"/>
      <c r="T6" s="189"/>
    </row>
    <row r="7" spans="2:20" ht="14.25">
      <c r="B7" s="590" t="s">
        <v>454</v>
      </c>
      <c r="C7" s="591"/>
      <c r="D7" s="204"/>
      <c r="E7" s="208"/>
      <c r="F7" s="206">
        <f>'操業条件'!C7</f>
        <v>5</v>
      </c>
      <c r="G7" s="207">
        <f>'操業条件'!D7</f>
        <v>5</v>
      </c>
      <c r="H7" s="28"/>
      <c r="M7" s="189"/>
      <c r="N7" s="189"/>
      <c r="O7" s="189"/>
      <c r="P7" s="189"/>
      <c r="Q7" s="189"/>
      <c r="R7" s="189"/>
      <c r="S7" s="189"/>
      <c r="T7" s="189"/>
    </row>
    <row r="8" spans="2:20" ht="14.25">
      <c r="B8" s="590" t="s">
        <v>455</v>
      </c>
      <c r="C8" s="591"/>
      <c r="D8" s="204"/>
      <c r="E8" s="208"/>
      <c r="F8" s="206">
        <f>'操業条件'!C14</f>
        <v>3.272727272727273</v>
      </c>
      <c r="G8" s="207">
        <f>'操業条件'!D14</f>
        <v>3.272727272727273</v>
      </c>
      <c r="H8" s="28"/>
      <c r="M8" s="189"/>
      <c r="N8" s="189"/>
      <c r="O8" s="189"/>
      <c r="P8" s="189"/>
      <c r="Q8" s="189"/>
      <c r="R8" s="189"/>
      <c r="S8" s="189"/>
      <c r="T8" s="189"/>
    </row>
    <row r="9" spans="2:20" ht="14.25">
      <c r="B9" s="590" t="s">
        <v>456</v>
      </c>
      <c r="C9" s="591"/>
      <c r="D9" s="204"/>
      <c r="E9" s="208"/>
      <c r="F9" s="206">
        <f>'操業条件'!H6</f>
        <v>7.5</v>
      </c>
      <c r="G9" s="207">
        <f>'操業条件'!H6</f>
        <v>7.5</v>
      </c>
      <c r="H9" s="28"/>
      <c r="M9" s="189"/>
      <c r="N9" s="189"/>
      <c r="O9" s="189"/>
      <c r="P9" s="189"/>
      <c r="Q9" s="189"/>
      <c r="R9" s="189"/>
      <c r="S9" s="189"/>
      <c r="T9" s="189"/>
    </row>
    <row r="10" spans="2:20" ht="14.25">
      <c r="B10" s="590" t="s">
        <v>457</v>
      </c>
      <c r="C10" s="591"/>
      <c r="D10" s="204"/>
      <c r="E10" s="208"/>
      <c r="F10" s="206">
        <f>'操業条件'!C8</f>
        <v>99.67558542334795</v>
      </c>
      <c r="G10" s="207">
        <f>'操業条件'!D8</f>
        <v>99.6816533936863</v>
      </c>
      <c r="H10" s="28"/>
      <c r="M10" s="189"/>
      <c r="N10" s="189"/>
      <c r="O10" s="189"/>
      <c r="P10" s="189"/>
      <c r="Q10" s="189"/>
      <c r="R10" s="189"/>
      <c r="S10" s="189"/>
      <c r="T10" s="189"/>
    </row>
    <row r="11" spans="2:20" ht="14.25">
      <c r="B11" s="590" t="s">
        <v>458</v>
      </c>
      <c r="C11" s="591"/>
      <c r="D11" s="204"/>
      <c r="E11" s="208"/>
      <c r="F11" s="206">
        <f>'操業条件'!C9</f>
        <v>50.000000000000014</v>
      </c>
      <c r="G11" s="207">
        <f>'操業条件'!D9</f>
        <v>60.00000000000001</v>
      </c>
      <c r="H11" s="28"/>
      <c r="M11" s="189"/>
      <c r="N11" s="189"/>
      <c r="O11" s="189"/>
      <c r="P11" s="189"/>
      <c r="Q11" s="189"/>
      <c r="R11" s="189"/>
      <c r="S11" s="189"/>
      <c r="T11" s="189"/>
    </row>
    <row r="12" spans="2:20" ht="14.25">
      <c r="B12" s="590" t="s">
        <v>459</v>
      </c>
      <c r="C12" s="591"/>
      <c r="D12" s="204"/>
      <c r="E12" s="208"/>
      <c r="F12" s="206">
        <f>'操業条件'!C10</f>
        <v>5</v>
      </c>
      <c r="G12" s="207">
        <f>'操業条件'!D10</f>
        <v>5</v>
      </c>
      <c r="H12" s="28"/>
      <c r="M12" s="189"/>
      <c r="N12" s="189"/>
      <c r="O12" s="189"/>
      <c r="P12" s="189"/>
      <c r="Q12" s="189"/>
      <c r="R12" s="189"/>
      <c r="S12" s="189"/>
      <c r="T12" s="189"/>
    </row>
    <row r="13" spans="2:20" ht="15" thickBot="1">
      <c r="B13" s="592" t="s">
        <v>460</v>
      </c>
      <c r="C13" s="593"/>
      <c r="D13" s="100"/>
      <c r="E13" s="48"/>
      <c r="F13" s="210">
        <f>'労働人員'!D24</f>
        <v>100</v>
      </c>
      <c r="G13" s="19">
        <f>'労働人員'!E24</f>
        <v>100</v>
      </c>
      <c r="H13" s="15"/>
      <c r="M13" s="189"/>
      <c r="N13" s="189"/>
      <c r="O13" s="189"/>
      <c r="P13" s="189"/>
      <c r="Q13" s="189"/>
      <c r="R13" s="189"/>
      <c r="S13" s="189"/>
      <c r="T13" s="189"/>
    </row>
    <row r="14" spans="2:20" ht="15" thickTop="1">
      <c r="B14" s="117"/>
      <c r="C14" s="211" t="s">
        <v>461</v>
      </c>
      <c r="D14" s="117"/>
      <c r="E14" s="212"/>
      <c r="F14" s="213">
        <f>G14</f>
        <v>3.8</v>
      </c>
      <c r="G14" s="214">
        <f>'配合'!B6</f>
        <v>3.8</v>
      </c>
      <c r="H14" s="15"/>
      <c r="M14" s="189"/>
      <c r="N14" s="189"/>
      <c r="O14" s="189"/>
      <c r="P14" s="189"/>
      <c r="Q14" s="189"/>
      <c r="R14" s="189"/>
      <c r="S14" s="189"/>
      <c r="T14" s="189"/>
    </row>
    <row r="15" spans="2:20" ht="14.25">
      <c r="B15" s="521" t="s">
        <v>462</v>
      </c>
      <c r="C15" s="106" t="s">
        <v>463</v>
      </c>
      <c r="D15" s="100"/>
      <c r="E15" s="48"/>
      <c r="F15" s="210">
        <f>G15</f>
        <v>2.7</v>
      </c>
      <c r="G15" s="19">
        <f>'配合'!C6</f>
        <v>2.7</v>
      </c>
      <c r="H15" s="15"/>
      <c r="M15" s="189"/>
      <c r="N15" s="189"/>
      <c r="O15" s="189"/>
      <c r="P15" s="189"/>
      <c r="Q15" s="189"/>
      <c r="R15" s="189"/>
      <c r="S15" s="189"/>
      <c r="T15" s="189"/>
    </row>
    <row r="16" spans="2:20" ht="15" thickBot="1">
      <c r="B16" s="522"/>
      <c r="C16" s="106" t="s">
        <v>464</v>
      </c>
      <c r="D16" s="100"/>
      <c r="E16" s="48"/>
      <c r="F16" s="210">
        <f>G16</f>
        <v>0.7</v>
      </c>
      <c r="G16" s="19">
        <f>'配合'!D6</f>
        <v>0.7</v>
      </c>
      <c r="H16" s="15"/>
      <c r="M16" s="189"/>
      <c r="N16" s="189"/>
      <c r="O16" s="189"/>
      <c r="P16" s="189"/>
      <c r="Q16" s="189"/>
      <c r="R16" s="189"/>
      <c r="S16" s="189"/>
      <c r="T16" s="189"/>
    </row>
    <row r="17" spans="2:20" ht="15" thickTop="1">
      <c r="B17" s="523"/>
      <c r="C17" s="216" t="str">
        <f>'配合'!B12</f>
        <v>残　し　湯</v>
      </c>
      <c r="D17" s="115"/>
      <c r="E17" s="116"/>
      <c r="F17" s="201"/>
      <c r="G17" s="202"/>
      <c r="H17" s="28"/>
      <c r="M17" s="189"/>
      <c r="N17" s="189"/>
      <c r="O17" s="189"/>
      <c r="P17" s="189"/>
      <c r="Q17" s="189"/>
      <c r="R17" s="189"/>
      <c r="S17" s="189"/>
      <c r="T17" s="189"/>
    </row>
    <row r="18" spans="2:20" ht="14.25">
      <c r="B18" s="524"/>
      <c r="C18" s="197" t="str">
        <f>'配合'!B13</f>
        <v>ＥＰ銑</v>
      </c>
      <c r="D18" s="218">
        <f>'溶解原料'!F7</f>
        <v>45000</v>
      </c>
      <c r="E18" s="219">
        <f>'溶解原料'!G7</f>
        <v>45000</v>
      </c>
      <c r="F18" s="206">
        <f>'溶解原料'!D7</f>
        <v>40.7</v>
      </c>
      <c r="G18" s="207">
        <f>'溶解原料'!E7</f>
        <v>50.1</v>
      </c>
      <c r="H18" s="28"/>
      <c r="M18" s="189"/>
      <c r="N18" s="189"/>
      <c r="O18" s="189"/>
      <c r="P18" s="189"/>
      <c r="Q18" s="189"/>
      <c r="R18" s="189"/>
      <c r="S18" s="189"/>
      <c r="T18" s="189"/>
    </row>
    <row r="19" spans="2:20" ht="14.25">
      <c r="B19" s="518" t="str">
        <f>'配合'!A14</f>
        <v>主原料</v>
      </c>
      <c r="C19" s="197" t="str">
        <f>'配合'!B14</f>
        <v>銑鉄Ｆ</v>
      </c>
      <c r="D19" s="218">
        <f>'溶解原料'!F8</f>
        <v>0</v>
      </c>
      <c r="E19" s="219">
        <f>'溶解原料'!G8</f>
        <v>0</v>
      </c>
      <c r="F19" s="206">
        <f>'溶解原料'!D8</f>
        <v>0</v>
      </c>
      <c r="G19" s="207">
        <f>'溶解原料'!E8</f>
        <v>0</v>
      </c>
      <c r="H19" s="28"/>
      <c r="M19" s="189"/>
      <c r="N19" s="189"/>
      <c r="O19" s="189"/>
      <c r="P19" s="189"/>
      <c r="Q19" s="189"/>
      <c r="R19" s="189"/>
      <c r="S19" s="189"/>
      <c r="T19" s="189"/>
    </row>
    <row r="20" spans="2:20" ht="14.25">
      <c r="B20" s="524"/>
      <c r="C20" s="197" t="str">
        <f>'配合'!B15</f>
        <v>銑鉄Ｂ</v>
      </c>
      <c r="D20" s="218">
        <f>'溶解原料'!F9</f>
        <v>0</v>
      </c>
      <c r="E20" s="219">
        <f>'溶解原料'!G9</f>
        <v>0</v>
      </c>
      <c r="F20" s="206">
        <f>'溶解原料'!D9</f>
        <v>0</v>
      </c>
      <c r="G20" s="207">
        <f>'溶解原料'!E9</f>
        <v>0</v>
      </c>
      <c r="H20" s="28"/>
      <c r="M20" s="189"/>
      <c r="N20" s="189"/>
      <c r="O20" s="189"/>
      <c r="P20" s="189"/>
      <c r="Q20" s="189"/>
      <c r="R20" s="189"/>
      <c r="S20" s="189"/>
      <c r="T20" s="189"/>
    </row>
    <row r="21" spans="2:20" ht="14.25">
      <c r="B21" s="524"/>
      <c r="C21" s="197" t="str">
        <f>'配合'!B16</f>
        <v>鋼スクラップ</v>
      </c>
      <c r="D21" s="218">
        <f>'溶解原料'!F10</f>
        <v>33000</v>
      </c>
      <c r="E21" s="219">
        <f>'溶解原料'!G10</f>
        <v>33000</v>
      </c>
      <c r="F21" s="206">
        <f>'溶解原料'!D10</f>
        <v>7</v>
      </c>
      <c r="G21" s="207">
        <f>'溶解原料'!E10</f>
        <v>7</v>
      </c>
      <c r="H21" s="28"/>
      <c r="M21" s="189"/>
      <c r="N21" s="189"/>
      <c r="O21" s="189"/>
      <c r="P21" s="189"/>
      <c r="Q21" s="189"/>
      <c r="R21" s="189"/>
      <c r="S21" s="189"/>
      <c r="T21" s="189"/>
    </row>
    <row r="22" spans="2:20" ht="15" thickBot="1">
      <c r="B22" s="524"/>
      <c r="C22" s="197" t="str">
        <f>'配合'!B17</f>
        <v>戻　り　材</v>
      </c>
      <c r="D22" s="218">
        <f>'溶解原料'!F11</f>
        <v>0</v>
      </c>
      <c r="E22" s="219">
        <f>'溶解原料'!G11</f>
        <v>0</v>
      </c>
      <c r="F22" s="206">
        <f>'溶解原料'!D11</f>
        <v>52.3</v>
      </c>
      <c r="G22" s="207">
        <f>'溶解原料'!E11</f>
        <v>42.9</v>
      </c>
      <c r="H22" s="28"/>
      <c r="M22" s="189"/>
      <c r="N22" s="189"/>
      <c r="O22" s="189"/>
      <c r="P22" s="189"/>
      <c r="Q22" s="189"/>
      <c r="R22" s="189"/>
      <c r="S22" s="189"/>
      <c r="T22" s="189"/>
    </row>
    <row r="23" spans="2:20" ht="15" thickTop="1">
      <c r="B23" s="523"/>
      <c r="C23" s="216" t="str">
        <f>'配合'!B18</f>
        <v>Ｆｅ－Ｓｉ</v>
      </c>
      <c r="D23" s="115">
        <f>'溶解原料'!F13</f>
        <v>120000</v>
      </c>
      <c r="E23" s="116">
        <f>'溶解原料'!G13</f>
        <v>120000</v>
      </c>
      <c r="F23" s="201">
        <f>'溶解原料'!D13</f>
        <v>0.06477642105263158</v>
      </c>
      <c r="G23" s="202">
        <f>'溶解原料'!E13</f>
        <v>0.2920387368421055</v>
      </c>
      <c r="H23" s="28"/>
      <c r="M23" s="189"/>
      <c r="N23" s="189"/>
      <c r="O23" s="189"/>
      <c r="P23" s="189"/>
      <c r="Q23" s="189"/>
      <c r="R23" s="189"/>
      <c r="S23" s="189"/>
      <c r="T23" s="189"/>
    </row>
    <row r="24" spans="2:20" ht="14.25">
      <c r="B24" s="518" t="str">
        <f>'配合'!A19</f>
        <v>副原料</v>
      </c>
      <c r="C24" s="197" t="str">
        <f>'配合'!B19</f>
        <v>Ｃｕ</v>
      </c>
      <c r="D24" s="218">
        <f>'溶解原料'!F14</f>
        <v>300000</v>
      </c>
      <c r="E24" s="219">
        <f>'溶解原料'!G14</f>
        <v>300000</v>
      </c>
      <c r="F24" s="206">
        <f>'溶解原料'!D14</f>
        <v>0.7561391694725028</v>
      </c>
      <c r="G24" s="207">
        <f>'溶解原料'!E14</f>
        <v>0.751919191919192</v>
      </c>
      <c r="H24" s="28"/>
      <c r="M24" s="189"/>
      <c r="N24" s="189"/>
      <c r="O24" s="189"/>
      <c r="P24" s="189"/>
      <c r="Q24" s="189"/>
      <c r="R24" s="189"/>
      <c r="S24" s="189"/>
      <c r="T24" s="189"/>
    </row>
    <row r="25" spans="2:20" ht="15" thickBot="1">
      <c r="B25" s="524"/>
      <c r="C25" s="197" t="str">
        <f>'配合'!B20</f>
        <v>加　炭　材</v>
      </c>
      <c r="D25" s="218">
        <f>'溶解原料'!F15</f>
        <v>100000</v>
      </c>
      <c r="E25" s="219">
        <f>'溶解原料'!G15</f>
        <v>100000</v>
      </c>
      <c r="F25" s="206">
        <f>'溶解原料'!D15</f>
        <v>0.3443391812865487</v>
      </c>
      <c r="G25" s="207">
        <f>'溶解原料'!E15</f>
        <v>0.3443391812865492</v>
      </c>
      <c r="H25" s="28"/>
      <c r="M25" s="189"/>
      <c r="N25" s="189"/>
      <c r="O25" s="189"/>
      <c r="P25" s="189"/>
      <c r="Q25" s="189"/>
      <c r="R25" s="189"/>
      <c r="S25" s="189"/>
      <c r="T25" s="189"/>
    </row>
    <row r="26" spans="2:20" ht="15" thickTop="1">
      <c r="B26" s="513" t="str">
        <f>'電力'!B10</f>
        <v>電力原単位</v>
      </c>
      <c r="C26" s="216" t="str">
        <f>'電力'!C10</f>
        <v>  溶解炉</v>
      </c>
      <c r="D26" s="193"/>
      <c r="E26" s="200"/>
      <c r="F26" s="194">
        <f>'電力'!D10</f>
        <v>552.7</v>
      </c>
      <c r="G26" s="221">
        <f>'電力'!E10</f>
        <v>552.7</v>
      </c>
      <c r="H26" s="15"/>
      <c r="M26" s="189"/>
      <c r="N26" s="189"/>
      <c r="O26" s="189"/>
      <c r="P26" s="189"/>
      <c r="Q26" s="189"/>
      <c r="R26" s="189"/>
      <c r="S26" s="189"/>
      <c r="T26" s="189"/>
    </row>
    <row r="27" spans="2:20" ht="15" thickBot="1">
      <c r="B27" s="518" t="str">
        <f>'電力'!B11</f>
        <v>[kwh/t・湯]</v>
      </c>
      <c r="C27" s="197" t="str">
        <f>'電力'!C11</f>
        <v>　前　炉</v>
      </c>
      <c r="D27" s="204"/>
      <c r="E27" s="208"/>
      <c r="F27" s="222">
        <f>'電力'!D11</f>
        <v>173.1</v>
      </c>
      <c r="G27" s="205">
        <f>'電力'!E11</f>
        <v>173.1</v>
      </c>
      <c r="H27" s="15"/>
      <c r="I27" s="189"/>
      <c r="J27" s="189"/>
      <c r="K27" s="189"/>
      <c r="L27" s="189"/>
      <c r="M27" s="189"/>
      <c r="N27" s="189"/>
      <c r="O27" s="189"/>
      <c r="P27" s="189"/>
      <c r="Q27" s="189"/>
      <c r="R27" s="189"/>
      <c r="S27" s="189"/>
      <c r="T27" s="189"/>
    </row>
    <row r="28" spans="2:20" ht="15" thickBot="1" thickTop="1">
      <c r="B28" s="525" t="s">
        <v>465</v>
      </c>
      <c r="C28" s="223" t="s">
        <v>466</v>
      </c>
      <c r="D28" s="224"/>
      <c r="E28" s="60"/>
      <c r="F28" s="225">
        <f>(F26+F27)*E49</f>
        <v>1532.9731884795954</v>
      </c>
      <c r="G28" s="226">
        <f>(G26+G27)*F49</f>
        <v>1277.3998925402902</v>
      </c>
      <c r="H28" s="15"/>
      <c r="I28" s="189"/>
      <c r="J28" s="189"/>
      <c r="K28" s="189"/>
      <c r="L28" s="227"/>
      <c r="M28" s="189"/>
      <c r="N28" s="189"/>
      <c r="O28" s="189"/>
      <c r="P28" s="189"/>
      <c r="Q28" s="189"/>
      <c r="R28" s="189"/>
      <c r="S28" s="189"/>
      <c r="T28" s="189"/>
    </row>
    <row r="29" spans="2:20" ht="15" thickTop="1">
      <c r="B29" s="519" t="str">
        <f>'球化、他'!B11</f>
        <v>　耐火物</v>
      </c>
      <c r="C29" s="216" t="str">
        <f>'球化、他'!B10</f>
        <v>溶解炉</v>
      </c>
      <c r="D29" s="228">
        <f>'球化、他'!D10</f>
        <v>100000</v>
      </c>
      <c r="E29" s="229">
        <f>'球化、他'!E10</f>
        <v>100000</v>
      </c>
      <c r="F29" s="194">
        <f>'球化、他'!D12</f>
        <v>900</v>
      </c>
      <c r="G29" s="221">
        <f>'球化、他'!E12</f>
        <v>900</v>
      </c>
      <c r="H29" s="129" t="s">
        <v>467</v>
      </c>
      <c r="J29" s="189"/>
      <c r="K29" s="189"/>
      <c r="L29" s="227"/>
      <c r="M29" s="189"/>
      <c r="N29" s="189"/>
      <c r="O29" s="189"/>
      <c r="P29" s="189"/>
      <c r="Q29" s="189"/>
      <c r="R29" s="189"/>
      <c r="S29" s="189"/>
      <c r="T29" s="189"/>
    </row>
    <row r="30" spans="2:20" ht="14.25">
      <c r="B30" s="526" t="s">
        <v>468</v>
      </c>
      <c r="C30" s="39" t="str">
        <f>'球化、他'!B13</f>
        <v>前炉</v>
      </c>
      <c r="D30" s="230">
        <f>'球化、他'!D13</f>
        <v>150000</v>
      </c>
      <c r="E30" s="231">
        <f>'球化、他'!E13</f>
        <v>150000</v>
      </c>
      <c r="F30" s="63">
        <f>'球化、他'!D15</f>
        <v>1200</v>
      </c>
      <c r="G30" s="32">
        <f>'球化、他'!E15</f>
        <v>1200</v>
      </c>
      <c r="H30" s="129" t="s">
        <v>467</v>
      </c>
      <c r="I30" s="189"/>
      <c r="J30" s="189"/>
      <c r="K30" s="189"/>
      <c r="L30" s="227"/>
      <c r="M30" s="189"/>
      <c r="N30" s="189"/>
      <c r="O30" s="189"/>
      <c r="P30" s="189"/>
      <c r="Q30" s="189"/>
      <c r="R30" s="189"/>
      <c r="S30" s="189"/>
      <c r="T30" s="189"/>
    </row>
    <row r="31" spans="2:20" ht="14.25">
      <c r="B31" s="520" t="str">
        <f>'球化、他'!B16</f>
        <v>　砂</v>
      </c>
      <c r="C31" s="209" t="s">
        <v>469</v>
      </c>
      <c r="D31" s="218">
        <f>'球化、他'!F16*1000</f>
        <v>20000</v>
      </c>
      <c r="E31" s="219">
        <f>'球化、他'!F16*1000</f>
        <v>20000</v>
      </c>
      <c r="F31" s="232">
        <f>'球化、他'!D16*'球化、他'!D20/100/'球化、他'!D19*1000</f>
        <v>338.9830508474576</v>
      </c>
      <c r="G31" s="233">
        <f>'球化、他'!E16*'球化、他'!E20/100/12.9*1000</f>
        <v>155.03875968992247</v>
      </c>
      <c r="H31" s="129" t="s">
        <v>470</v>
      </c>
      <c r="I31" s="189"/>
      <c r="J31" s="189"/>
      <c r="K31" s="189"/>
      <c r="L31" s="189"/>
      <c r="M31" s="189"/>
      <c r="N31" s="189"/>
      <c r="O31" s="189"/>
      <c r="P31" s="189"/>
      <c r="Q31" s="189"/>
      <c r="R31" s="189"/>
      <c r="S31" s="189"/>
      <c r="T31" s="189"/>
    </row>
    <row r="32" spans="2:20" ht="15" thickBot="1">
      <c r="B32" s="520" t="str">
        <f>'球化、他'!B22</f>
        <v>　中子</v>
      </c>
      <c r="C32" s="209" t="s">
        <v>471</v>
      </c>
      <c r="D32" s="218">
        <f>'球化、他'!D23</f>
        <v>153</v>
      </c>
      <c r="E32" s="219">
        <f>'球化、他'!E23</f>
        <v>153</v>
      </c>
      <c r="F32" s="222">
        <f>'球化、他'!D22</f>
        <v>1</v>
      </c>
      <c r="G32" s="205">
        <f>'球化、他'!E22</f>
        <v>1</v>
      </c>
      <c r="H32" s="220" t="s">
        <v>472</v>
      </c>
      <c r="I32" s="189"/>
      <c r="J32" s="189"/>
      <c r="K32" s="189"/>
      <c r="L32" s="189"/>
      <c r="M32" s="189"/>
      <c r="N32" s="189"/>
      <c r="O32" s="189"/>
      <c r="P32" s="189"/>
      <c r="Q32" s="189"/>
      <c r="R32" s="189"/>
      <c r="S32" s="189"/>
      <c r="T32" s="189"/>
    </row>
    <row r="33" spans="2:20" ht="15" thickTop="1">
      <c r="B33" s="519" t="str">
        <f>'球化、他'!C7</f>
        <v>球状化剤</v>
      </c>
      <c r="C33" s="199"/>
      <c r="D33" s="115">
        <f>'球化、他'!F7*1000</f>
        <v>190000</v>
      </c>
      <c r="E33" s="116">
        <f>'球化、他'!F7*1000</f>
        <v>190000</v>
      </c>
      <c r="F33" s="194">
        <f>'球化、他'!D7</f>
        <v>13.5</v>
      </c>
      <c r="G33" s="221">
        <f>'球化、他'!E7</f>
        <v>13.5</v>
      </c>
      <c r="H33" s="220" t="s">
        <v>473</v>
      </c>
      <c r="I33" s="189"/>
      <c r="J33" s="189"/>
      <c r="K33" s="189"/>
      <c r="L33" s="189"/>
      <c r="M33" s="189"/>
      <c r="N33" s="189"/>
      <c r="O33" s="189"/>
      <c r="P33" s="189"/>
      <c r="Q33" s="189"/>
      <c r="R33" s="189"/>
      <c r="S33" s="189"/>
      <c r="T33" s="189"/>
    </row>
    <row r="34" spans="2:20" ht="15" thickBot="1">
      <c r="B34" s="520" t="str">
        <f>'球化、他'!C8</f>
        <v>接種剤</v>
      </c>
      <c r="C34" s="203"/>
      <c r="D34" s="218">
        <f>'球化、他'!F8*1000</f>
        <v>90000</v>
      </c>
      <c r="E34" s="219">
        <f>'球化、他'!F8*1000</f>
        <v>90000</v>
      </c>
      <c r="F34" s="222">
        <f>'球化、他'!D8</f>
        <v>4</v>
      </c>
      <c r="G34" s="205">
        <f>'球化、他'!E8</f>
        <v>4</v>
      </c>
      <c r="H34" s="220" t="s">
        <v>473</v>
      </c>
      <c r="L34" s="189"/>
      <c r="M34" s="189"/>
      <c r="N34" s="189"/>
      <c r="O34" s="189"/>
      <c r="P34" s="189"/>
      <c r="Q34" s="189"/>
      <c r="R34" s="189"/>
      <c r="S34" s="189"/>
      <c r="T34" s="189"/>
    </row>
    <row r="35" spans="2:20" ht="15" thickTop="1">
      <c r="B35" s="519" t="s">
        <v>474</v>
      </c>
      <c r="C35" s="234" t="s">
        <v>475</v>
      </c>
      <c r="D35" s="185"/>
      <c r="E35" s="200"/>
      <c r="F35" s="194">
        <f>'労働人員'!D23</f>
        <v>65</v>
      </c>
      <c r="G35" s="221">
        <f>'労働人員'!E23</f>
        <v>65</v>
      </c>
      <c r="H35" s="195"/>
      <c r="L35" s="189"/>
      <c r="M35" s="189"/>
      <c r="N35" s="189"/>
      <c r="O35" s="189"/>
      <c r="P35" s="189"/>
      <c r="Q35" s="189"/>
      <c r="R35" s="189"/>
      <c r="S35" s="189"/>
      <c r="T35" s="189"/>
    </row>
    <row r="36" spans="2:20" ht="14.25">
      <c r="B36" s="520" t="str">
        <f>'操業条件'!F4</f>
        <v>月間就労日数　　（ｄ／Ｍ）</v>
      </c>
      <c r="C36" s="203"/>
      <c r="D36" s="235"/>
      <c r="E36" s="208"/>
      <c r="F36" s="222">
        <f>'操業条件'!H4</f>
        <v>22</v>
      </c>
      <c r="G36" s="205">
        <f>'操業条件'!H4</f>
        <v>22</v>
      </c>
      <c r="H36" s="195"/>
      <c r="L36" s="189"/>
      <c r="M36" s="189"/>
      <c r="N36" s="189"/>
      <c r="O36" s="189"/>
      <c r="P36" s="189"/>
      <c r="Q36" s="189"/>
      <c r="R36" s="189"/>
      <c r="S36" s="189"/>
      <c r="T36" s="189"/>
    </row>
    <row r="37" spans="2:20" ht="14.25">
      <c r="B37" s="520" t="str">
        <f>'操業条件'!F5</f>
        <v>日間就労時間　　（ｈｒ／ｄ）</v>
      </c>
      <c r="C37" s="203"/>
      <c r="D37" s="235"/>
      <c r="E37" s="208"/>
      <c r="F37" s="222">
        <f>'操業条件'!H5</f>
        <v>8</v>
      </c>
      <c r="G37" s="205">
        <f>'操業条件'!H5</f>
        <v>8</v>
      </c>
      <c r="H37" s="195"/>
      <c r="L37" s="189"/>
      <c r="M37" s="189"/>
      <c r="N37" s="189"/>
      <c r="O37" s="189"/>
      <c r="P37" s="189"/>
      <c r="Q37" s="189"/>
      <c r="R37" s="189"/>
      <c r="S37" s="189"/>
      <c r="T37" s="189"/>
    </row>
    <row r="38" spans="2:20" ht="14.25">
      <c r="B38" s="520" t="str">
        <f>'操業条件'!F6</f>
        <v>定時溶解時間　　（ｈｒ／ｄ）</v>
      </c>
      <c r="C38" s="209"/>
      <c r="D38" s="235"/>
      <c r="E38" s="208"/>
      <c r="F38" s="222">
        <f>'操業条件'!H6</f>
        <v>7.5</v>
      </c>
      <c r="G38" s="205">
        <f>'操業条件'!H6</f>
        <v>7.5</v>
      </c>
      <c r="H38" s="195"/>
      <c r="L38" s="189"/>
      <c r="M38" s="189"/>
      <c r="N38" s="189"/>
      <c r="O38" s="189"/>
      <c r="P38" s="189"/>
      <c r="Q38" s="189"/>
      <c r="R38" s="189"/>
      <c r="S38" s="189"/>
      <c r="T38" s="189"/>
    </row>
    <row r="39" spans="2:20" ht="14.25">
      <c r="B39" s="520" t="str">
        <f>'操業条件'!F7</f>
        <v>一日の残業制限　（ｈｒ／ｄ）</v>
      </c>
      <c r="C39" s="203"/>
      <c r="D39" s="235"/>
      <c r="E39" s="208"/>
      <c r="F39" s="222">
        <f>'操業条件'!H7</f>
        <v>3</v>
      </c>
      <c r="G39" s="205">
        <f>'操業条件'!H7</f>
        <v>3</v>
      </c>
      <c r="H39" s="28"/>
      <c r="L39" s="189"/>
      <c r="M39" s="189"/>
      <c r="N39" s="189"/>
      <c r="O39" s="189"/>
      <c r="P39" s="189"/>
      <c r="Q39" s="189"/>
      <c r="R39" s="189"/>
      <c r="S39" s="189"/>
      <c r="T39" s="189"/>
    </row>
    <row r="40" spans="2:20" ht="14.25">
      <c r="B40" s="236"/>
      <c r="C40" s="236"/>
      <c r="D40" s="23"/>
      <c r="E40" s="23"/>
      <c r="F40" s="23"/>
      <c r="G40" s="23"/>
      <c r="L40" s="189"/>
      <c r="M40" s="189"/>
      <c r="N40" s="189"/>
      <c r="O40" s="189"/>
      <c r="P40" s="189"/>
      <c r="Q40" s="189"/>
      <c r="R40" s="189"/>
      <c r="S40" s="189"/>
      <c r="T40" s="189"/>
    </row>
    <row r="41" spans="2:20" ht="14.25">
      <c r="B41" s="237"/>
      <c r="C41" s="238"/>
      <c r="D41" s="22"/>
      <c r="E41" s="239" t="str">
        <f>D4</f>
        <v>方案歩留り５０％</v>
      </c>
      <c r="F41" s="240" t="str">
        <f>E4</f>
        <v>方案歩留り６０％</v>
      </c>
      <c r="G41" s="240" t="s">
        <v>476</v>
      </c>
      <c r="H41" s="28"/>
      <c r="L41" s="189"/>
      <c r="M41" s="189"/>
      <c r="N41" s="189"/>
      <c r="O41" s="189"/>
      <c r="P41" s="189"/>
      <c r="Q41" s="189"/>
      <c r="R41" s="189"/>
      <c r="S41" s="189"/>
      <c r="T41" s="189"/>
    </row>
    <row r="42" spans="2:20" ht="15" thickTop="1">
      <c r="B42" s="215"/>
      <c r="C42" s="514" t="str">
        <f>'操業条件'!B15</f>
        <v>月間溶解量　　（ｔ／Ｍ）</v>
      </c>
      <c r="D42" s="185"/>
      <c r="E42" s="201">
        <f>'操業条件'!C15</f>
        <v>1266.3017516773677</v>
      </c>
      <c r="F42" s="202">
        <f>'操業条件'!D15</f>
        <v>1266.3014029806882</v>
      </c>
      <c r="G42" s="202">
        <f aca="true" t="shared" si="0" ref="G42:G52">F42-E42</f>
        <v>-0.0003486966795662738</v>
      </c>
      <c r="H42" s="28"/>
      <c r="L42" s="189"/>
      <c r="M42" s="189"/>
      <c r="N42" s="189"/>
      <c r="O42" s="189"/>
      <c r="P42" s="189"/>
      <c r="Q42" s="189"/>
      <c r="R42" s="189"/>
      <c r="S42" s="189"/>
      <c r="T42" s="189"/>
    </row>
    <row r="43" spans="2:20" ht="14.25">
      <c r="B43" s="518" t="s">
        <v>477</v>
      </c>
      <c r="C43" s="515" t="str">
        <f>'操業条件'!B19</f>
        <v>戻り発生量　　　（ｔ／Ｍ）</v>
      </c>
      <c r="D43" s="235"/>
      <c r="E43" s="206">
        <f>'操業条件'!C19</f>
        <v>662.6516842105259</v>
      </c>
      <c r="F43" s="207">
        <f>'操業条件'!D19</f>
        <v>542.7761754385964</v>
      </c>
      <c r="G43" s="207">
        <f t="shared" si="0"/>
        <v>-119.8755087719295</v>
      </c>
      <c r="H43" s="28"/>
      <c r="L43" s="189"/>
      <c r="M43" s="189"/>
      <c r="N43" s="189"/>
      <c r="O43" s="189"/>
      <c r="P43" s="189"/>
      <c r="Q43" s="189"/>
      <c r="R43" s="189"/>
      <c r="S43" s="189"/>
      <c r="T43" s="189"/>
    </row>
    <row r="44" spans="2:20" ht="14.25">
      <c r="B44" s="220" t="s">
        <v>159</v>
      </c>
      <c r="C44" s="515" t="str">
        <f>'操業条件'!B16</f>
        <v>延べ溶解日数　（ｄ／Ｍ）</v>
      </c>
      <c r="D44" s="235"/>
      <c r="E44" s="206">
        <f>'操業条件'!C16</f>
        <v>22.000030432679527</v>
      </c>
      <c r="F44" s="207">
        <f>'操業条件'!D16</f>
        <v>22.000024374615126</v>
      </c>
      <c r="G44" s="207">
        <f t="shared" si="0"/>
        <v>-6.058064400349394E-06</v>
      </c>
      <c r="H44" s="28"/>
      <c r="L44" s="189"/>
      <c r="M44" s="189"/>
      <c r="N44" s="189"/>
      <c r="O44" s="189"/>
      <c r="P44" s="189"/>
      <c r="Q44" s="189"/>
      <c r="R44" s="189"/>
      <c r="S44" s="189"/>
      <c r="T44" s="189"/>
    </row>
    <row r="45" spans="2:20" ht="14.25">
      <c r="B45" s="220" t="s">
        <v>159</v>
      </c>
      <c r="C45" s="515" t="str">
        <f>'操業条件'!B17</f>
        <v>必要残業時間　（ｈｒ／ｄ）</v>
      </c>
      <c r="D45" s="235"/>
      <c r="E45" s="206">
        <f>'操業条件'!C17</f>
        <v>1.1066428918773205E-05</v>
      </c>
      <c r="F45" s="207">
        <f>'操業条件'!D17</f>
        <v>8.863496409555244E-06</v>
      </c>
      <c r="G45" s="207">
        <f t="shared" si="0"/>
        <v>-2.202932509217961E-06</v>
      </c>
      <c r="H45" s="28"/>
      <c r="L45" s="189"/>
      <c r="M45" s="189"/>
      <c r="N45" s="189"/>
      <c r="O45" s="189"/>
      <c r="P45" s="189"/>
      <c r="Q45" s="189"/>
      <c r="R45" s="189"/>
      <c r="S45" s="189"/>
      <c r="T45" s="189"/>
    </row>
    <row r="46" spans="2:20" ht="14.25">
      <c r="B46" s="220" t="s">
        <v>159</v>
      </c>
      <c r="C46" s="515" t="str">
        <f>'操業条件'!B18</f>
        <v>必要公休出勤　（ｄ／Ｍ）</v>
      </c>
      <c r="D46" s="235"/>
      <c r="E46" s="206">
        <f>'操業条件'!C18</f>
        <v>0</v>
      </c>
      <c r="F46" s="207">
        <f>'操業条件'!D18</f>
        <v>0</v>
      </c>
      <c r="G46" s="207">
        <f t="shared" si="0"/>
        <v>0</v>
      </c>
      <c r="H46" s="28"/>
      <c r="L46" s="189"/>
      <c r="M46" s="189"/>
      <c r="N46" s="189"/>
      <c r="O46" s="189"/>
      <c r="P46" s="189"/>
      <c r="Q46" s="189"/>
      <c r="R46" s="189"/>
      <c r="S46" s="189"/>
      <c r="T46" s="189"/>
    </row>
    <row r="47" spans="1:20" ht="14.25">
      <c r="A47" s="189"/>
      <c r="B47" s="241"/>
      <c r="C47" s="516" t="s">
        <v>478</v>
      </c>
      <c r="D47" s="6"/>
      <c r="E47" s="210">
        <f>'労働人員'!O64</f>
        <v>8.469557758083168</v>
      </c>
      <c r="F47" s="19">
        <f>'労働人員'!P64</f>
        <v>8.469557602601368</v>
      </c>
      <c r="G47" s="207">
        <f t="shared" si="0"/>
        <v>-1.5548179987945332E-07</v>
      </c>
      <c r="H47" s="28"/>
      <c r="I47" s="189"/>
      <c r="J47" s="189"/>
      <c r="K47" s="189"/>
      <c r="L47" s="189"/>
      <c r="M47" s="189"/>
      <c r="N47" s="189"/>
      <c r="O47" s="189"/>
      <c r="P47" s="189"/>
      <c r="Q47" s="189"/>
      <c r="R47" s="189"/>
      <c r="S47" s="189"/>
      <c r="T47" s="189"/>
    </row>
    <row r="48" spans="1:20" ht="14.25">
      <c r="A48" s="189"/>
      <c r="B48" s="217"/>
      <c r="C48" s="515" t="s">
        <v>479</v>
      </c>
      <c r="D48" s="235"/>
      <c r="E48" s="206">
        <f>'労働人員'!Q64</f>
        <v>17.88868140179229</v>
      </c>
      <c r="F48" s="207">
        <f>'労働人員'!R64</f>
        <v>14.906326772425988</v>
      </c>
      <c r="G48" s="207">
        <f t="shared" si="0"/>
        <v>-2.982354629366302</v>
      </c>
      <c r="H48" s="28"/>
      <c r="I48" s="189"/>
      <c r="J48" s="189"/>
      <c r="K48" s="189"/>
      <c r="L48" s="189"/>
      <c r="M48" s="189"/>
      <c r="N48" s="189"/>
      <c r="O48" s="189"/>
      <c r="P48" s="189"/>
      <c r="Q48" s="189"/>
      <c r="R48" s="189"/>
      <c r="S48" s="189"/>
      <c r="T48" s="189"/>
    </row>
    <row r="49" spans="1:20" ht="14.25">
      <c r="A49" s="189"/>
      <c r="B49" s="217"/>
      <c r="C49" s="515" t="str">
        <f>'操業条件'!B21</f>
        <v>原単位　（溶解　ｔ/製品t）</v>
      </c>
      <c r="D49" s="235"/>
      <c r="E49" s="242">
        <f>'操業条件'!C21</f>
        <v>2.1121151673733745</v>
      </c>
      <c r="F49" s="243">
        <f>'操業条件'!D21</f>
        <v>1.7599888296228852</v>
      </c>
      <c r="G49" s="244">
        <f t="shared" si="0"/>
        <v>-0.3521263377504893</v>
      </c>
      <c r="H49" s="28"/>
      <c r="I49" s="189"/>
      <c r="J49" s="189"/>
      <c r="K49" s="189"/>
      <c r="L49" s="189"/>
      <c r="M49" s="189"/>
      <c r="N49" s="189"/>
      <c r="O49" s="189"/>
      <c r="P49" s="189"/>
      <c r="Q49" s="189"/>
      <c r="R49" s="189"/>
      <c r="S49" s="189"/>
      <c r="T49" s="189"/>
    </row>
    <row r="50" spans="1:20" ht="14.25">
      <c r="A50" s="189"/>
      <c r="B50" s="217"/>
      <c r="C50" s="515" t="str">
        <f>'操業条件'!B20</f>
        <v>戻り原単位　（戻り　t/溶解t）</v>
      </c>
      <c r="D50" s="235"/>
      <c r="E50" s="242">
        <f>'操業条件'!C20</f>
        <v>0.5232968234725764</v>
      </c>
      <c r="F50" s="243">
        <f>'操業条件'!D20</f>
        <v>0.42863110959285106</v>
      </c>
      <c r="G50" s="244">
        <f t="shared" si="0"/>
        <v>-0.09466571387972539</v>
      </c>
      <c r="H50" s="28"/>
      <c r="I50" s="189"/>
      <c r="J50" s="189"/>
      <c r="K50" s="189"/>
      <c r="L50" s="189"/>
      <c r="M50" s="189"/>
      <c r="N50" s="189"/>
      <c r="O50" s="189"/>
      <c r="P50" s="189"/>
      <c r="Q50" s="189"/>
      <c r="R50" s="189"/>
      <c r="S50" s="189"/>
      <c r="T50" s="189"/>
    </row>
    <row r="51" spans="1:20" ht="14.25">
      <c r="A51" s="189"/>
      <c r="B51" s="129"/>
      <c r="C51" s="517" t="s">
        <v>480</v>
      </c>
      <c r="D51" s="23"/>
      <c r="E51" s="70">
        <f>'電力'!B7</f>
        <v>4200</v>
      </c>
      <c r="F51" s="211">
        <f>'電力'!C7</f>
        <v>4200</v>
      </c>
      <c r="G51" s="214">
        <f t="shared" si="0"/>
        <v>0</v>
      </c>
      <c r="H51" s="28"/>
      <c r="I51" s="189"/>
      <c r="J51" s="189"/>
      <c r="K51" s="189"/>
      <c r="L51" s="189"/>
      <c r="M51" s="189"/>
      <c r="N51" s="189"/>
      <c r="O51" s="189"/>
      <c r="P51" s="189"/>
      <c r="Q51" s="189"/>
      <c r="R51" s="189"/>
      <c r="S51" s="189"/>
      <c r="T51" s="189"/>
    </row>
    <row r="52" spans="2:8" ht="14.25">
      <c r="B52" s="217"/>
      <c r="C52" s="515" t="s">
        <v>481</v>
      </c>
      <c r="D52" s="235"/>
      <c r="E52" s="222">
        <f>'電力'!F7</f>
        <v>9.79</v>
      </c>
      <c r="F52" s="205">
        <f>'電力'!F7</f>
        <v>9.79</v>
      </c>
      <c r="G52" s="207">
        <f t="shared" si="0"/>
        <v>0</v>
      </c>
      <c r="H52" s="195"/>
    </row>
    <row r="53" spans="2:8" ht="14.25">
      <c r="B53" s="198" t="s">
        <v>482</v>
      </c>
      <c r="C53" s="514" t="s">
        <v>483</v>
      </c>
      <c r="D53" s="199"/>
      <c r="E53" s="194">
        <f>'球化、他'!D17</f>
        <v>6</v>
      </c>
      <c r="F53" s="221">
        <f>'球化、他'!E17</f>
        <v>6</v>
      </c>
      <c r="G53" s="200"/>
      <c r="H53" s="195"/>
    </row>
    <row r="54" spans="2:8" ht="14.25">
      <c r="B54" s="220" t="s">
        <v>484</v>
      </c>
      <c r="C54" s="515" t="s">
        <v>485</v>
      </c>
      <c r="D54" s="203"/>
      <c r="E54" s="222">
        <f>'球化、他'!D19</f>
        <v>5.9</v>
      </c>
      <c r="F54" s="205">
        <f>'球化、他'!E19</f>
        <v>5.9</v>
      </c>
      <c r="G54" s="208"/>
      <c r="H54" s="195"/>
    </row>
    <row r="55" spans="2:8" ht="14.25">
      <c r="B55" s="217"/>
      <c r="C55" s="515" t="s">
        <v>486</v>
      </c>
      <c r="D55" s="203"/>
      <c r="E55" s="222">
        <f>'球化、他'!D18</f>
        <v>70.8</v>
      </c>
      <c r="F55" s="205">
        <f>'球化、他'!E18</f>
        <v>59</v>
      </c>
      <c r="G55" s="208"/>
      <c r="H55" s="195"/>
    </row>
    <row r="56" spans="2:8" ht="14.25">
      <c r="B56" s="15"/>
      <c r="C56" s="48"/>
      <c r="D56" s="245" t="s">
        <v>487</v>
      </c>
      <c r="E56" s="204"/>
      <c r="F56" s="208"/>
      <c r="G56" s="208"/>
      <c r="H56" s="195"/>
    </row>
    <row r="57" spans="2:7" ht="14.25">
      <c r="B57" s="22"/>
      <c r="C57" s="22"/>
      <c r="D57" s="22"/>
      <c r="E57" s="22"/>
      <c r="F57" s="22"/>
      <c r="G57" s="22"/>
    </row>
    <row r="58" spans="2:5" ht="21" customHeight="1">
      <c r="B58" s="94" t="s">
        <v>488</v>
      </c>
      <c r="C58" s="246" t="s">
        <v>489</v>
      </c>
      <c r="E58" s="94" t="s">
        <v>490</v>
      </c>
    </row>
    <row r="59" spans="2:8" ht="14.25">
      <c r="B59" s="247" t="s">
        <v>491</v>
      </c>
      <c r="C59" s="94" t="s">
        <v>492</v>
      </c>
      <c r="D59" s="248"/>
      <c r="E59" s="94" t="s">
        <v>493</v>
      </c>
      <c r="F59" s="248"/>
      <c r="G59" s="94" t="s">
        <v>494</v>
      </c>
      <c r="H59" s="248"/>
    </row>
    <row r="60" spans="2:8" ht="14.25">
      <c r="B60" s="248"/>
      <c r="C60" s="94" t="s">
        <v>495</v>
      </c>
      <c r="D60" s="248"/>
      <c r="E60" s="94" t="s">
        <v>496</v>
      </c>
      <c r="F60" s="248"/>
      <c r="G60" s="94" t="s">
        <v>497</v>
      </c>
      <c r="H60" s="248"/>
    </row>
    <row r="61" spans="2:7" ht="14.25">
      <c r="B61" s="248"/>
      <c r="C61" s="249" t="s">
        <v>498</v>
      </c>
      <c r="D61" s="250"/>
      <c r="E61" s="94" t="s">
        <v>499</v>
      </c>
      <c r="F61" s="94"/>
      <c r="G61" s="94" t="s">
        <v>500</v>
      </c>
    </row>
    <row r="62" spans="2:7" ht="14.25">
      <c r="B62" s="247" t="s">
        <v>501</v>
      </c>
      <c r="C62" s="94"/>
      <c r="D62" s="94"/>
      <c r="E62" s="94" t="s">
        <v>502</v>
      </c>
      <c r="F62" s="248"/>
      <c r="G62" s="249" t="s">
        <v>503</v>
      </c>
    </row>
    <row r="63" spans="2:7" ht="14.25">
      <c r="B63" s="94" t="s">
        <v>504</v>
      </c>
      <c r="C63" s="248"/>
      <c r="D63" s="248"/>
      <c r="G63" s="248"/>
    </row>
  </sheetData>
  <mergeCells count="9">
    <mergeCell ref="B13:C13"/>
    <mergeCell ref="B9:C9"/>
    <mergeCell ref="B10:C10"/>
    <mergeCell ref="B11:C11"/>
    <mergeCell ref="B12:C12"/>
    <mergeCell ref="B5:C5"/>
    <mergeCell ref="B6:C6"/>
    <mergeCell ref="B7:C7"/>
    <mergeCell ref="B8:C8"/>
  </mergeCells>
  <printOptions/>
  <pageMargins left="0.5" right="0.5861111111111111" top="0.7875" bottom="0.586111111111111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N63"/>
  <sheetViews>
    <sheetView showGridLines="0" showOutlineSymbols="0" workbookViewId="0" topLeftCell="A1">
      <selection activeCell="I1" sqref="I1"/>
    </sheetView>
  </sheetViews>
  <sheetFormatPr defaultColWidth="9.00390625" defaultRowHeight="14.25"/>
  <cols>
    <col min="1" max="1" width="3.75390625" style="0" customWidth="1"/>
    <col min="2" max="2" width="4.75390625" style="0" customWidth="1"/>
    <col min="3" max="3" width="6.75390625" style="0" customWidth="1"/>
    <col min="4" max="4" width="13.25390625" style="0" customWidth="1"/>
    <col min="6" max="7" width="10.625" style="0" customWidth="1"/>
    <col min="8" max="9" width="9.25390625" style="0" customWidth="1"/>
    <col min="10" max="10" width="5.25390625" style="0" customWidth="1"/>
    <col min="11" max="12" width="9.25390625" style="0" customWidth="1"/>
    <col min="13" max="13" width="5.25390625" style="0" customWidth="1"/>
    <col min="14" max="16384" width="10.75390625" style="0" customWidth="1"/>
  </cols>
  <sheetData>
    <row r="1" spans="4:7" ht="15.75">
      <c r="D1" s="24" t="str">
        <f>'配合'!B1</f>
        <v>【鋳鉄の原価計算】</v>
      </c>
      <c r="G1" s="90" t="str">
        <f>'設定条件表'!F1</f>
        <v> </v>
      </c>
    </row>
    <row r="2" spans="2:11" ht="15" thickBot="1">
      <c r="B2" s="191"/>
      <c r="H2" s="189"/>
      <c r="K2" s="251"/>
    </row>
    <row r="3" spans="2:14" ht="15" thickTop="1">
      <c r="B3" s="193"/>
      <c r="C3" s="22"/>
      <c r="D3" s="186" t="s">
        <v>505</v>
      </c>
      <c r="E3" s="185"/>
      <c r="F3" s="594" t="s">
        <v>881</v>
      </c>
      <c r="G3" s="595"/>
      <c r="H3" s="596" t="str">
        <f>F4</f>
        <v>方案歩留り５０％</v>
      </c>
      <c r="I3" s="597"/>
      <c r="J3" s="527" t="s">
        <v>506</v>
      </c>
      <c r="K3" s="596" t="str">
        <f>G4</f>
        <v>方案歩留り６０％</v>
      </c>
      <c r="L3" s="597"/>
      <c r="M3" s="240" t="s">
        <v>506</v>
      </c>
      <c r="N3" s="15"/>
    </row>
    <row r="4" spans="2:14" ht="19.5" customHeight="1" thickBot="1">
      <c r="B4" s="252" t="s">
        <v>507</v>
      </c>
      <c r="D4" s="189"/>
      <c r="E4" s="189"/>
      <c r="F4" s="253" t="str">
        <f>'配合'!L11</f>
        <v>方案歩留り５０％</v>
      </c>
      <c r="G4" s="253" t="str">
        <f>'配合'!M11</f>
        <v>方案歩留り６０％</v>
      </c>
      <c r="H4" s="254" t="s">
        <v>508</v>
      </c>
      <c r="I4" s="197" t="s">
        <v>509</v>
      </c>
      <c r="J4" s="528" t="s">
        <v>510</v>
      </c>
      <c r="K4" s="254" t="str">
        <f>H4</f>
        <v>　\/t・製品</v>
      </c>
      <c r="L4" s="197" t="str">
        <f>I4</f>
        <v>　\/1ｹ･製品</v>
      </c>
      <c r="M4" s="101" t="s">
        <v>510</v>
      </c>
      <c r="N4" s="15"/>
    </row>
    <row r="5" spans="2:14" ht="18.75" customHeight="1" thickTop="1">
      <c r="B5" s="117"/>
      <c r="C5" s="255" t="s">
        <v>511</v>
      </c>
      <c r="D5" s="255" t="s">
        <v>512</v>
      </c>
      <c r="E5" s="22"/>
      <c r="F5" s="212"/>
      <c r="G5" s="212"/>
      <c r="H5" s="256"/>
      <c r="I5" s="212"/>
      <c r="J5" s="212"/>
      <c r="K5" s="256"/>
      <c r="L5" s="212"/>
      <c r="M5" s="212"/>
      <c r="N5" s="15"/>
    </row>
    <row r="6" spans="2:14" ht="15.75" customHeight="1">
      <c r="B6" s="100"/>
      <c r="C6" s="257" t="s">
        <v>513</v>
      </c>
      <c r="D6" s="6"/>
      <c r="E6" s="6"/>
      <c r="F6" s="32">
        <f>'方案歩留り設定'!C9</f>
        <v>5.9</v>
      </c>
      <c r="G6" s="32">
        <f>'方案歩留り設定'!D9</f>
        <v>5.9</v>
      </c>
      <c r="H6" s="258"/>
      <c r="I6" s="48"/>
      <c r="J6" s="48"/>
      <c r="K6" s="258"/>
      <c r="L6" s="48"/>
      <c r="M6" s="48"/>
      <c r="N6" s="15"/>
    </row>
    <row r="7" spans="2:14" ht="15.75" customHeight="1">
      <c r="B7" s="259"/>
      <c r="C7" s="60"/>
      <c r="D7" s="260" t="s">
        <v>514</v>
      </c>
      <c r="E7" s="260" t="s">
        <v>515</v>
      </c>
      <c r="F7" s="53">
        <f>'溶解原料'!H32</f>
        <v>2.1121151673733745</v>
      </c>
      <c r="G7" s="53">
        <f>'溶解原料'!I32</f>
        <v>1.7599888296228852</v>
      </c>
      <c r="H7" s="261">
        <f>'溶解原料'!J12</f>
        <v>42328.39477846535</v>
      </c>
      <c r="I7" s="262">
        <f>H7*F6/1000</f>
        <v>249.73752919294557</v>
      </c>
      <c r="J7" s="263"/>
      <c r="K7" s="261">
        <f>'溶解原料'!K12</f>
        <v>42413.46191085714</v>
      </c>
      <c r="L7" s="262">
        <f>K7*G6/1000</f>
        <v>250.23942527405717</v>
      </c>
      <c r="M7" s="263"/>
      <c r="N7" s="15"/>
    </row>
    <row r="8" spans="2:14" ht="14.25">
      <c r="B8" s="252" t="s">
        <v>516</v>
      </c>
      <c r="C8" s="101" t="s">
        <v>517</v>
      </c>
      <c r="D8" s="264" t="s">
        <v>518</v>
      </c>
      <c r="E8" s="264" t="s">
        <v>519</v>
      </c>
      <c r="F8" s="265">
        <f>'操業条件'!C9</f>
        <v>50.000000000000014</v>
      </c>
      <c r="G8" s="265">
        <f>'操業条件'!D9</f>
        <v>60.00000000000001</v>
      </c>
      <c r="H8" s="266">
        <f>'溶解原料'!J16</f>
        <v>5682.621346652301</v>
      </c>
      <c r="I8" s="267">
        <f>H8*F6/1000</f>
        <v>33.52746594524858</v>
      </c>
      <c r="J8" s="265"/>
      <c r="K8" s="266">
        <f>'溶解原料'!K16</f>
        <v>5192.923145927489</v>
      </c>
      <c r="L8" s="267">
        <f>K8*G6/1000</f>
        <v>30.63824656097219</v>
      </c>
      <c r="M8" s="265"/>
      <c r="N8" s="15"/>
    </row>
    <row r="9" spans="2:14" ht="14.25">
      <c r="B9" s="252" t="s">
        <v>520</v>
      </c>
      <c r="C9" s="34"/>
      <c r="D9" s="264" t="s">
        <v>521</v>
      </c>
      <c r="E9" s="268"/>
      <c r="F9" s="269"/>
      <c r="G9" s="269"/>
      <c r="H9" s="266">
        <f>'球化、他'!I9</f>
        <v>6177.93686456712</v>
      </c>
      <c r="I9" s="267">
        <f>H9*F6/1000</f>
        <v>36.449827500946014</v>
      </c>
      <c r="J9" s="265"/>
      <c r="K9" s="266">
        <f>'球化、他'!J9</f>
        <v>5147.967326646939</v>
      </c>
      <c r="L9" s="267">
        <f>K9*G6/1000</f>
        <v>30.37300722721694</v>
      </c>
      <c r="M9" s="265"/>
      <c r="N9" s="15"/>
    </row>
    <row r="10" spans="2:14" ht="14.25">
      <c r="B10" s="252" t="s">
        <v>522</v>
      </c>
      <c r="C10" s="34"/>
      <c r="D10" s="249" t="s">
        <v>351</v>
      </c>
      <c r="E10" s="270"/>
      <c r="F10" s="271"/>
      <c r="G10" s="271"/>
      <c r="H10" s="272">
        <f>SUM(H7:H9)</f>
        <v>54188.952989684774</v>
      </c>
      <c r="I10" s="273">
        <f>SUM(I7:I9)</f>
        <v>319.71482263914015</v>
      </c>
      <c r="J10" s="144">
        <f>I10/I49*100</f>
        <v>14.531104023146376</v>
      </c>
      <c r="K10" s="272">
        <f>SUM(K7:K9)</f>
        <v>52754.35238343157</v>
      </c>
      <c r="L10" s="273">
        <f>SUM(L7:L9)</f>
        <v>311.25067906224626</v>
      </c>
      <c r="M10" s="144">
        <f>L10/L49*100</f>
        <v>15.09566603387852</v>
      </c>
      <c r="N10" s="15"/>
    </row>
    <row r="11" spans="2:14" ht="15.75" customHeight="1">
      <c r="B11" s="252" t="s">
        <v>523</v>
      </c>
      <c r="C11" s="48"/>
      <c r="D11" s="197" t="s">
        <v>524</v>
      </c>
      <c r="E11" s="197" t="s">
        <v>309</v>
      </c>
      <c r="F11" s="32">
        <f>'電力'!D10</f>
        <v>552.7</v>
      </c>
      <c r="G11" s="32">
        <f>'電力'!E10</f>
        <v>552.7</v>
      </c>
      <c r="H11" s="274">
        <f>'電力'!D14*'電力'!D10/'電力'!D12</f>
        <v>20710.72445874389</v>
      </c>
      <c r="I11" s="219">
        <f>H11*F6/1000</f>
        <v>122.19327430658896</v>
      </c>
      <c r="J11" s="144"/>
      <c r="K11" s="274">
        <f>'電力'!E14*'電力'!E10/'電力'!E12</f>
        <v>17257.88856706221</v>
      </c>
      <c r="L11" s="219">
        <f>K11*G6/1000</f>
        <v>101.82154254566704</v>
      </c>
      <c r="M11" s="144"/>
      <c r="N11" s="15"/>
    </row>
    <row r="12" spans="2:14" ht="14.25">
      <c r="B12" s="252" t="s">
        <v>159</v>
      </c>
      <c r="C12" s="66" t="s">
        <v>525</v>
      </c>
      <c r="D12" s="264" t="s">
        <v>526</v>
      </c>
      <c r="E12" s="275" t="s">
        <v>527</v>
      </c>
      <c r="F12" s="276">
        <f>'電力'!D11</f>
        <v>173.1</v>
      </c>
      <c r="G12" s="276">
        <f>'電力'!E11</f>
        <v>173.1</v>
      </c>
      <c r="H12" s="266">
        <f>'電力'!D14*'電力'!D11/'電力'!D12</f>
        <v>6486.387558908208</v>
      </c>
      <c r="I12" s="267">
        <f>H12*F6/1000</f>
        <v>38.26968659755843</v>
      </c>
      <c r="J12" s="265"/>
      <c r="K12" s="266">
        <f>'電力'!E14*'電力'!E11/'電力'!E12</f>
        <v>5404.994591927752</v>
      </c>
      <c r="L12" s="267">
        <f>K12*G6/1000</f>
        <v>31.889468092373736</v>
      </c>
      <c r="M12" s="265"/>
      <c r="N12" s="15"/>
    </row>
    <row r="13" spans="2:14" ht="14.25">
      <c r="B13" s="195"/>
      <c r="C13" s="34"/>
      <c r="D13" s="264" t="s">
        <v>528</v>
      </c>
      <c r="E13" s="264" t="s">
        <v>529</v>
      </c>
      <c r="F13" s="276">
        <f>('球化、他'!D12+'球化、他'!D15)/2</f>
        <v>1050</v>
      </c>
      <c r="G13" s="276">
        <f>('球化、他'!E12+'球化、他'!E15)/2</f>
        <v>1050</v>
      </c>
      <c r="H13" s="266">
        <f>'球化、他'!I10+'球化、他'!I13</f>
        <v>498.6938589631578</v>
      </c>
      <c r="I13" s="267">
        <f>H13*F6/1000</f>
        <v>2.9422937678826315</v>
      </c>
      <c r="J13" s="265"/>
      <c r="K13" s="266">
        <f>'球化、他'!J10+'球化、他'!J13</f>
        <v>415.5529181054035</v>
      </c>
      <c r="L13" s="267">
        <f>K13*G6/1000</f>
        <v>2.451762216821881</v>
      </c>
      <c r="M13" s="265"/>
      <c r="N13" s="15"/>
    </row>
    <row r="14" spans="2:14" ht="14.25">
      <c r="B14" s="15"/>
      <c r="C14" s="34"/>
      <c r="D14" s="277" t="s">
        <v>530</v>
      </c>
      <c r="E14" s="277" t="s">
        <v>341</v>
      </c>
      <c r="F14" s="278">
        <f>'労働人員'!Q46</f>
        <v>1.3877280117754018</v>
      </c>
      <c r="G14" s="278">
        <f>'労働人員'!R46</f>
        <v>1.1563695920427433</v>
      </c>
      <c r="H14" s="279">
        <f>'労働人員'!S46</f>
        <v>9035.861074923145</v>
      </c>
      <c r="I14" s="280">
        <f>H14*F6/1000</f>
        <v>53.31158034204656</v>
      </c>
      <c r="J14" s="265"/>
      <c r="K14" s="279">
        <f>'労働人員'!T46</f>
        <v>7529.426691722657</v>
      </c>
      <c r="L14" s="280">
        <f>K14*G6/1000</f>
        <v>44.42361748116368</v>
      </c>
      <c r="M14" s="265"/>
      <c r="N14" s="15"/>
    </row>
    <row r="15" spans="2:14" ht="14.25">
      <c r="B15" s="15"/>
      <c r="C15" s="34"/>
      <c r="D15" s="281" t="s">
        <v>531</v>
      </c>
      <c r="E15" s="271"/>
      <c r="F15" s="271"/>
      <c r="G15" s="271"/>
      <c r="H15" s="272">
        <f>SUM(H11:H14)</f>
        <v>36731.6669515384</v>
      </c>
      <c r="I15" s="273">
        <f>SUM(I11:I14)</f>
        <v>216.7168350140766</v>
      </c>
      <c r="J15" s="144">
        <f>I15/I49*100</f>
        <v>9.849824437795943</v>
      </c>
      <c r="K15" s="272">
        <f>SUM(K11:K14)</f>
        <v>30607.862768818024</v>
      </c>
      <c r="L15" s="273">
        <f>SUM(L11:L14)</f>
        <v>180.58639033602637</v>
      </c>
      <c r="M15" s="144">
        <f>L15/L49*100</f>
        <v>8.758444630513083</v>
      </c>
      <c r="N15" s="15"/>
    </row>
    <row r="16" spans="2:14" ht="18" customHeight="1">
      <c r="B16" s="28"/>
      <c r="C16" s="80"/>
      <c r="D16" s="282" t="s">
        <v>532</v>
      </c>
      <c r="E16" s="283"/>
      <c r="F16" s="283"/>
      <c r="G16" s="283"/>
      <c r="H16" s="284">
        <f>H10+H15</f>
        <v>90920.61994122318</v>
      </c>
      <c r="I16" s="285">
        <f>I10+I15</f>
        <v>536.4316576532167</v>
      </c>
      <c r="J16" s="263">
        <f>I16/I49*100</f>
        <v>24.380928460942318</v>
      </c>
      <c r="K16" s="284">
        <f>K10+K15</f>
        <v>83362.2151522496</v>
      </c>
      <c r="L16" s="285">
        <f>L10+L15</f>
        <v>491.83706939827266</v>
      </c>
      <c r="M16" s="263">
        <f>L16/L49*100</f>
        <v>23.854110664391605</v>
      </c>
      <c r="N16" s="15"/>
    </row>
    <row r="17" spans="2:14" ht="18" customHeight="1">
      <c r="B17" s="59"/>
      <c r="C17" s="54"/>
      <c r="D17" s="286" t="s">
        <v>262</v>
      </c>
      <c r="E17" s="286" t="s">
        <v>533</v>
      </c>
      <c r="F17" s="54">
        <f>'球化、他'!D16</f>
        <v>40</v>
      </c>
      <c r="G17" s="54">
        <f>'球化、他'!E16</f>
        <v>40</v>
      </c>
      <c r="H17" s="287">
        <f>'球化、他'!I16</f>
        <v>1193.2854052956918</v>
      </c>
      <c r="I17" s="120">
        <f>H17*F6/1000</f>
        <v>7.0403838912445815</v>
      </c>
      <c r="J17" s="263"/>
      <c r="K17" s="287">
        <f>'球化、他'!J16</f>
        <v>994.3439715383532</v>
      </c>
      <c r="L17" s="120">
        <f>K17*G6/1000</f>
        <v>5.866629432076285</v>
      </c>
      <c r="M17" s="263"/>
      <c r="N17" s="15"/>
    </row>
    <row r="18" spans="2:14" ht="14.25">
      <c r="B18" s="28" t="s">
        <v>534</v>
      </c>
      <c r="C18" s="101" t="s">
        <v>517</v>
      </c>
      <c r="D18" s="275" t="s">
        <v>535</v>
      </c>
      <c r="E18" s="275" t="s">
        <v>536</v>
      </c>
      <c r="F18" s="276">
        <f>'球化、他'!D23</f>
        <v>153</v>
      </c>
      <c r="G18" s="276">
        <f>'球化、他'!E23</f>
        <v>153</v>
      </c>
      <c r="H18" s="288">
        <f>'球化、他'!I22+'球化、他'!I24</f>
        <v>27401.129943502827</v>
      </c>
      <c r="I18" s="289">
        <f>H18*F6/1000</f>
        <v>161.66666666666669</v>
      </c>
      <c r="J18" s="265"/>
      <c r="K18" s="288">
        <f>'球化、他'!J22+'球化、他'!J24</f>
        <v>27401.129943502827</v>
      </c>
      <c r="L18" s="289">
        <f>K18*G6/1000</f>
        <v>161.66666666666669</v>
      </c>
      <c r="M18" s="265"/>
      <c r="N18" s="15"/>
    </row>
    <row r="19" spans="2:14" ht="13.5" customHeight="1">
      <c r="B19" s="28" t="s">
        <v>537</v>
      </c>
      <c r="C19" s="66"/>
      <c r="D19" s="281" t="s">
        <v>351</v>
      </c>
      <c r="E19" s="290"/>
      <c r="F19" s="290"/>
      <c r="G19" s="290"/>
      <c r="H19" s="272">
        <f>H17+H18</f>
        <v>28594.415348798517</v>
      </c>
      <c r="I19" s="273">
        <f>I17+I18</f>
        <v>168.70705055791126</v>
      </c>
      <c r="J19" s="144">
        <f>I19/I49*100</f>
        <v>7.6677699233926795</v>
      </c>
      <c r="K19" s="272">
        <f>K17+K18</f>
        <v>28395.47391504118</v>
      </c>
      <c r="L19" s="273">
        <f>L17+L18</f>
        <v>167.53329609874297</v>
      </c>
      <c r="M19" s="144">
        <f>L19/L49*100</f>
        <v>8.125369220337454</v>
      </c>
      <c r="N19" s="15"/>
    </row>
    <row r="20" spans="2:14" ht="18" customHeight="1">
      <c r="B20" s="28" t="s">
        <v>522</v>
      </c>
      <c r="C20" s="32" t="s">
        <v>538</v>
      </c>
      <c r="D20" s="291" t="s">
        <v>882</v>
      </c>
      <c r="E20" s="291" t="s">
        <v>341</v>
      </c>
      <c r="F20" s="292">
        <f>'労働人員'!Q47</f>
        <v>2.0815920176631035</v>
      </c>
      <c r="G20" s="292">
        <f>'労働人員'!R47</f>
        <v>1.7345543880641154</v>
      </c>
      <c r="H20" s="293">
        <f>'労働人員'!S47</f>
        <v>13553.791612384723</v>
      </c>
      <c r="I20" s="294">
        <f>H20*F6/1000</f>
        <v>79.96737051306987</v>
      </c>
      <c r="J20" s="144"/>
      <c r="K20" s="293">
        <f>'労働人員'!T47</f>
        <v>11294.14003758399</v>
      </c>
      <c r="L20" s="294">
        <f>K20*G6/1000</f>
        <v>66.63542622174553</v>
      </c>
      <c r="M20" s="144"/>
      <c r="N20" s="15"/>
    </row>
    <row r="21" spans="2:14" ht="14.25">
      <c r="B21" s="28" t="s">
        <v>523</v>
      </c>
      <c r="C21" s="101" t="s">
        <v>539</v>
      </c>
      <c r="D21" s="295" t="s">
        <v>540</v>
      </c>
      <c r="E21" s="295" t="s">
        <v>527</v>
      </c>
      <c r="F21" s="278">
        <f>'労働人員'!Q48</f>
        <v>0.6938640058877009</v>
      </c>
      <c r="G21" s="278">
        <f>'労働人員'!R48</f>
        <v>0.5781847960213716</v>
      </c>
      <c r="H21" s="296">
        <f>'労働人員'!S48</f>
        <v>4517.930537461572</v>
      </c>
      <c r="I21" s="297">
        <f>H21*F6/1000</f>
        <v>26.65579017102328</v>
      </c>
      <c r="J21" s="265"/>
      <c r="K21" s="296">
        <f>'労働人員'!T48</f>
        <v>3764.7133458613284</v>
      </c>
      <c r="L21" s="297">
        <f>K21*G6/1000</f>
        <v>22.21180874058184</v>
      </c>
      <c r="M21" s="265"/>
      <c r="N21" s="15"/>
    </row>
    <row r="22" spans="2:14" ht="14.25">
      <c r="B22" s="28"/>
      <c r="C22" s="66"/>
      <c r="D22" s="295" t="s">
        <v>541</v>
      </c>
      <c r="E22" s="295" t="s">
        <v>527</v>
      </c>
      <c r="F22" s="278">
        <f>'労働人員'!Q49</f>
        <v>2.0815920176631035</v>
      </c>
      <c r="G22" s="278">
        <f>'労働人員'!R49</f>
        <v>1.7345543880641154</v>
      </c>
      <c r="H22" s="296">
        <f>'労働人員'!S49</f>
        <v>13553.791612384723</v>
      </c>
      <c r="I22" s="297">
        <f>H22*F6/1000</f>
        <v>79.96737051306987</v>
      </c>
      <c r="J22" s="265"/>
      <c r="K22" s="296">
        <f>'労働人員'!T49</f>
        <v>11294.14003758399</v>
      </c>
      <c r="L22" s="297">
        <f>K22*G6/1000</f>
        <v>66.63542622174553</v>
      </c>
      <c r="M22" s="265"/>
      <c r="N22" s="15"/>
    </row>
    <row r="23" spans="2:14" ht="14.25">
      <c r="B23" s="15"/>
      <c r="C23" s="34"/>
      <c r="D23" s="295" t="s">
        <v>542</v>
      </c>
      <c r="E23" s="295" t="s">
        <v>527</v>
      </c>
      <c r="F23" s="278">
        <f>'労働人員'!Q50</f>
        <v>4.163184035326207</v>
      </c>
      <c r="G23" s="278">
        <f>'労働人員'!R50</f>
        <v>3.469108776128231</v>
      </c>
      <c r="H23" s="296">
        <f>'労働人員'!S50</f>
        <v>27107.583224769445</v>
      </c>
      <c r="I23" s="297">
        <f>H23*F6/1000</f>
        <v>159.93474102613973</v>
      </c>
      <c r="J23" s="265"/>
      <c r="K23" s="296">
        <f>'労働人員'!T50</f>
        <v>22588.28007516798</v>
      </c>
      <c r="L23" s="297">
        <f>K23*G6/1000</f>
        <v>133.27085244349107</v>
      </c>
      <c r="M23" s="265"/>
      <c r="N23" s="15"/>
    </row>
    <row r="24" spans="2:14" ht="14.25">
      <c r="B24" s="15"/>
      <c r="C24" s="34"/>
      <c r="D24" s="298" t="s">
        <v>351</v>
      </c>
      <c r="E24" s="299"/>
      <c r="F24" s="300">
        <f>SUM(F20:F23)</f>
        <v>9.020232076540115</v>
      </c>
      <c r="G24" s="300">
        <f>SUM(G20:G23)</f>
        <v>7.516402348277833</v>
      </c>
      <c r="H24" s="301">
        <f>SUM(H20:H23)</f>
        <v>58733.09698700046</v>
      </c>
      <c r="I24" s="302">
        <f>SUM(I20:I23)</f>
        <v>346.52527222330275</v>
      </c>
      <c r="J24" s="144">
        <f>I24/I49*100</f>
        <v>15.749644435501642</v>
      </c>
      <c r="K24" s="301">
        <f>SUM(K20:K23)</f>
        <v>48941.27349619729</v>
      </c>
      <c r="L24" s="302">
        <f>SUM(L20:L23)</f>
        <v>288.75351362756396</v>
      </c>
      <c r="M24" s="144">
        <f>L24/L49*100</f>
        <v>14.004552924875593</v>
      </c>
      <c r="N24" s="15"/>
    </row>
    <row r="25" spans="2:14" ht="18" customHeight="1">
      <c r="B25" s="15"/>
      <c r="C25" s="18"/>
      <c r="D25" s="303" t="s">
        <v>532</v>
      </c>
      <c r="E25" s="304"/>
      <c r="F25" s="304"/>
      <c r="G25" s="304"/>
      <c r="H25" s="284">
        <f>H19+H24</f>
        <v>87327.51233579898</v>
      </c>
      <c r="I25" s="285">
        <f>I19+I24</f>
        <v>515.232322781214</v>
      </c>
      <c r="J25" s="263">
        <f>I25/I49*100</f>
        <v>23.41741435889432</v>
      </c>
      <c r="K25" s="284">
        <f>K19+K24</f>
        <v>77336.74741123847</v>
      </c>
      <c r="L25" s="285">
        <f>L19+L24</f>
        <v>456.28680972630696</v>
      </c>
      <c r="M25" s="263">
        <f>L25/L49*100</f>
        <v>22.129922145213047</v>
      </c>
      <c r="N25" s="15"/>
    </row>
    <row r="26" spans="2:14" ht="18" customHeight="1">
      <c r="B26" s="224"/>
      <c r="C26" s="305" t="s">
        <v>543</v>
      </c>
      <c r="D26" s="18"/>
      <c r="E26" s="305" t="s">
        <v>341</v>
      </c>
      <c r="F26" s="306">
        <f>'労働人員'!Q53*H53/100</f>
        <v>0.6545631149292178</v>
      </c>
      <c r="G26" s="306">
        <f>'労働人員'!R53*H53/100</f>
        <v>0.5454360478092237</v>
      </c>
      <c r="H26" s="307">
        <f>'労働人員'!S53*H53/100</f>
        <v>4262.032128113164</v>
      </c>
      <c r="I26" s="308">
        <f>H26*F6/1000</f>
        <v>25.14598955586767</v>
      </c>
      <c r="J26" s="263"/>
      <c r="K26" s="307">
        <f>'労働人員'!T53*H53/100</f>
        <v>3551.477629005902</v>
      </c>
      <c r="L26" s="308">
        <f>K26*G6/1000</f>
        <v>20.953718011134825</v>
      </c>
      <c r="M26" s="263"/>
      <c r="N26" s="15"/>
    </row>
    <row r="27" spans="2:14" ht="13.5" customHeight="1">
      <c r="B27" s="28" t="s">
        <v>544</v>
      </c>
      <c r="C27" s="295" t="s">
        <v>545</v>
      </c>
      <c r="D27" s="309"/>
      <c r="E27" s="295" t="s">
        <v>527</v>
      </c>
      <c r="F27" s="278">
        <f>'労働人員'!Q55*H53/100</f>
        <v>0.3927378689575307</v>
      </c>
      <c r="G27" s="278">
        <f>'労働人員'!R55*H53/100</f>
        <v>0.32726162868553416</v>
      </c>
      <c r="H27" s="296">
        <f>'労働人員'!S55*H53/100</f>
        <v>2557.219276867898</v>
      </c>
      <c r="I27" s="297">
        <f>H27*F6/1000</f>
        <v>15.087593733520599</v>
      </c>
      <c r="J27" s="265"/>
      <c r="K27" s="296">
        <f>'労働人員'!T55*H53/100</f>
        <v>2130.886577403541</v>
      </c>
      <c r="L27" s="297">
        <f>K27*G6/1000</f>
        <v>12.572230806680894</v>
      </c>
      <c r="M27" s="265"/>
      <c r="N27" s="15"/>
    </row>
    <row r="28" spans="2:14" ht="13.5" customHeight="1">
      <c r="B28" s="28" t="s">
        <v>546</v>
      </c>
      <c r="C28" s="295" t="s">
        <v>547</v>
      </c>
      <c r="D28" s="309"/>
      <c r="E28" s="295" t="s">
        <v>527</v>
      </c>
      <c r="F28" s="278">
        <f>'労働人員'!Q56*H53/100</f>
        <v>0.7854757379150614</v>
      </c>
      <c r="G28" s="278">
        <f>'労働人員'!R56*H53/100</f>
        <v>0.6545232573710683</v>
      </c>
      <c r="H28" s="296">
        <f>'労働人員'!S56*H53/100</f>
        <v>5114.438553735796</v>
      </c>
      <c r="I28" s="297">
        <f>H28*F6/1000</f>
        <v>30.175187467041198</v>
      </c>
      <c r="J28" s="265"/>
      <c r="K28" s="296">
        <f>'労働人員'!T56*H53/100</f>
        <v>4261.773154807082</v>
      </c>
      <c r="L28" s="297">
        <f>K28*G6/1000</f>
        <v>25.144461613361788</v>
      </c>
      <c r="M28" s="265"/>
      <c r="N28" s="15"/>
    </row>
    <row r="29" spans="2:14" ht="14.25">
      <c r="B29" s="28" t="s">
        <v>522</v>
      </c>
      <c r="C29" s="295" t="s">
        <v>548</v>
      </c>
      <c r="D29" s="309"/>
      <c r="E29" s="295" t="s">
        <v>527</v>
      </c>
      <c r="F29" s="278">
        <f>'労働人員'!Q54*H53/100</f>
        <v>0.3927378689575307</v>
      </c>
      <c r="G29" s="278">
        <f>'労働人員'!R54*H53/100</f>
        <v>0.32726162868553416</v>
      </c>
      <c r="H29" s="296">
        <f>'労働人員'!S54*H53/100</f>
        <v>2557.219276867898</v>
      </c>
      <c r="I29" s="297">
        <f>H29*F6/1000</f>
        <v>15.087593733520599</v>
      </c>
      <c r="J29" s="265"/>
      <c r="K29" s="296">
        <f>'労働人員'!T54*H53/100</f>
        <v>2130.886577403541</v>
      </c>
      <c r="L29" s="297">
        <f>K29*G6/1000</f>
        <v>12.572230806680894</v>
      </c>
      <c r="M29" s="265"/>
      <c r="N29" s="15"/>
    </row>
    <row r="30" spans="2:14" ht="14.25">
      <c r="B30" s="28" t="s">
        <v>523</v>
      </c>
      <c r="C30" s="295" t="s">
        <v>549</v>
      </c>
      <c r="D30" s="309"/>
      <c r="E30" s="295" t="s">
        <v>527</v>
      </c>
      <c r="F30" s="278">
        <f>'労働人員'!Q57*H53/100</f>
        <v>0.3927378689575307</v>
      </c>
      <c r="G30" s="278">
        <f>'労働人員'!R57*H53/100</f>
        <v>0.32726162868553416</v>
      </c>
      <c r="H30" s="296">
        <f>'労働人員'!S57*H53/100</f>
        <v>2557.219276867898</v>
      </c>
      <c r="I30" s="297">
        <f>H30*F6/1000</f>
        <v>15.087593733520599</v>
      </c>
      <c r="J30" s="265"/>
      <c r="K30" s="296">
        <f>'労働人員'!T57*H53/100</f>
        <v>2130.886577403541</v>
      </c>
      <c r="L30" s="297">
        <f>K30*G6/1000</f>
        <v>12.572230806680894</v>
      </c>
      <c r="M30" s="265"/>
      <c r="N30" s="15"/>
    </row>
    <row r="31" spans="2:14" ht="14.25">
      <c r="B31" s="15"/>
      <c r="C31" s="18"/>
      <c r="D31" s="303" t="s">
        <v>532</v>
      </c>
      <c r="E31" s="304"/>
      <c r="F31" s="310">
        <f>SUM(F26:F30)</f>
        <v>2.6182524597168713</v>
      </c>
      <c r="G31" s="310">
        <f>SUM(G26:G30)</f>
        <v>2.1817441912368944</v>
      </c>
      <c r="H31" s="311">
        <f>SUM(H26:H30)</f>
        <v>17048.128512452655</v>
      </c>
      <c r="I31" s="312">
        <f>SUM(I26:I30)</f>
        <v>100.58395822347066</v>
      </c>
      <c r="J31" s="263">
        <f>I31/I49*100</f>
        <v>4.571561455737555</v>
      </c>
      <c r="K31" s="311">
        <f>SUM(K26:K30)</f>
        <v>14205.910516023607</v>
      </c>
      <c r="L31" s="312">
        <f>SUM(L26:L30)</f>
        <v>83.81487204453929</v>
      </c>
      <c r="M31" s="263">
        <f>L31/L49*100</f>
        <v>4.065023475189249</v>
      </c>
      <c r="N31" s="15"/>
    </row>
    <row r="32" spans="2:14" ht="18" customHeight="1">
      <c r="B32" s="313" t="s">
        <v>550</v>
      </c>
      <c r="C32" s="18"/>
      <c r="D32" s="18"/>
      <c r="E32" s="60"/>
      <c r="F32" s="60"/>
      <c r="G32" s="60"/>
      <c r="H32" s="284">
        <f>H16+H25+H31</f>
        <v>195296.26078947482</v>
      </c>
      <c r="I32" s="285">
        <f>I16+I25+I31</f>
        <v>1152.2479386579014</v>
      </c>
      <c r="J32" s="263">
        <f>I32/I49*100</f>
        <v>52.3699042755742</v>
      </c>
      <c r="K32" s="284">
        <f>K16+K25+K31</f>
        <v>174904.87307951166</v>
      </c>
      <c r="L32" s="285">
        <f>L16+L25+L31</f>
        <v>1031.9387511691189</v>
      </c>
      <c r="M32" s="54">
        <f>L32/L49*100</f>
        <v>50.049056284793906</v>
      </c>
      <c r="N32" s="15"/>
    </row>
    <row r="33" spans="2:14" ht="24.75" customHeight="1">
      <c r="B33" s="224"/>
      <c r="C33" s="60"/>
      <c r="D33" s="286" t="s">
        <v>551</v>
      </c>
      <c r="E33" s="286" t="s">
        <v>552</v>
      </c>
      <c r="F33" s="54">
        <f>'熱処理梱包'!D4</f>
        <v>30</v>
      </c>
      <c r="G33" s="54">
        <f>'熱処理梱包'!E4</f>
        <v>30</v>
      </c>
      <c r="H33" s="287">
        <f>'熱処理梱包'!F4</f>
        <v>30000</v>
      </c>
      <c r="I33" s="120">
        <f>H33*F6/1000</f>
        <v>177</v>
      </c>
      <c r="J33" s="263"/>
      <c r="K33" s="287">
        <f>'熱処理梱包'!G4</f>
        <v>30000</v>
      </c>
      <c r="L33" s="120">
        <f>K33*G6/1000</f>
        <v>177</v>
      </c>
      <c r="M33" s="263"/>
      <c r="N33" s="15"/>
    </row>
    <row r="34" spans="2:14" ht="14.25">
      <c r="B34" s="28" t="s">
        <v>553</v>
      </c>
      <c r="C34" s="66" t="s">
        <v>554</v>
      </c>
      <c r="D34" s="275" t="s">
        <v>555</v>
      </c>
      <c r="E34" s="275" t="s">
        <v>556</v>
      </c>
      <c r="F34" s="276">
        <f>'熱処理梱包'!D5</f>
        <v>25</v>
      </c>
      <c r="G34" s="276">
        <f>'熱処理梱包'!E5</f>
        <v>25</v>
      </c>
      <c r="H34" s="288">
        <f>'熱処理梱包'!F5</f>
        <v>25000</v>
      </c>
      <c r="I34" s="289">
        <f>H34*F6/1000</f>
        <v>147.5</v>
      </c>
      <c r="J34" s="265"/>
      <c r="K34" s="288">
        <f>'熱処理梱包'!G5</f>
        <v>25000</v>
      </c>
      <c r="L34" s="289">
        <f>K34*G6/1000</f>
        <v>147.5</v>
      </c>
      <c r="M34" s="265"/>
      <c r="N34" s="15"/>
    </row>
    <row r="35" spans="2:14" ht="18" customHeight="1">
      <c r="B35" s="28" t="s">
        <v>557</v>
      </c>
      <c r="C35" s="34"/>
      <c r="D35" s="281" t="s">
        <v>351</v>
      </c>
      <c r="E35" s="271"/>
      <c r="F35" s="271"/>
      <c r="G35" s="271"/>
      <c r="H35" s="272">
        <f>H33+H34</f>
        <v>55000</v>
      </c>
      <c r="I35" s="273">
        <f>I33+I34</f>
        <v>324.5</v>
      </c>
      <c r="J35" s="144">
        <f>I35/I49*100</f>
        <v>14.748591312055536</v>
      </c>
      <c r="K35" s="272">
        <f>K33+K34</f>
        <v>55000</v>
      </c>
      <c r="L35" s="273">
        <f>L33+L34</f>
        <v>324.5</v>
      </c>
      <c r="M35" s="144">
        <f>L35/L49*100</f>
        <v>15.73825844413317</v>
      </c>
      <c r="N35" s="15"/>
    </row>
    <row r="36" spans="2:14" ht="14.25">
      <c r="B36" s="28" t="s">
        <v>558</v>
      </c>
      <c r="C36" s="48"/>
      <c r="D36" s="39" t="s">
        <v>559</v>
      </c>
      <c r="E36" s="39" t="s">
        <v>552</v>
      </c>
      <c r="F36" s="32">
        <f>'熱処理梱包'!D8</f>
        <v>10</v>
      </c>
      <c r="G36" s="32">
        <f>'熱処理梱包'!E8</f>
        <v>10</v>
      </c>
      <c r="H36" s="314">
        <f>'熱処理梱包'!F8</f>
        <v>10000</v>
      </c>
      <c r="I36" s="315">
        <f>H36*F6/1000</f>
        <v>59</v>
      </c>
      <c r="J36" s="144"/>
      <c r="K36" s="314">
        <f>'熱処理梱包'!G8</f>
        <v>10000</v>
      </c>
      <c r="L36" s="315">
        <f>K36*G6/1000</f>
        <v>59</v>
      </c>
      <c r="M36" s="144"/>
      <c r="N36" s="15"/>
    </row>
    <row r="37" spans="2:14" ht="14.25">
      <c r="B37" s="15"/>
      <c r="C37" s="66" t="s">
        <v>560</v>
      </c>
      <c r="D37" s="275" t="s">
        <v>555</v>
      </c>
      <c r="E37" s="275" t="s">
        <v>561</v>
      </c>
      <c r="F37" s="276">
        <f>'熱処理梱包'!D9</f>
        <v>55</v>
      </c>
      <c r="G37" s="276">
        <f>'熱処理梱包'!E9</f>
        <v>55</v>
      </c>
      <c r="H37" s="288">
        <f>'熱処理梱包'!F9</f>
        <v>13050.847457627118</v>
      </c>
      <c r="I37" s="289">
        <f>H37*F6/1000</f>
        <v>77</v>
      </c>
      <c r="J37" s="265"/>
      <c r="K37" s="288">
        <f>'熱処理梱包'!G9</f>
        <v>13050.847457627118</v>
      </c>
      <c r="L37" s="289">
        <f>K37*G6/1000</f>
        <v>77</v>
      </c>
      <c r="M37" s="265"/>
      <c r="N37" s="15"/>
    </row>
    <row r="38" spans="2:14" ht="18" customHeight="1">
      <c r="B38" s="15"/>
      <c r="C38" s="34"/>
      <c r="D38" s="281" t="s">
        <v>351</v>
      </c>
      <c r="E38" s="271"/>
      <c r="F38" s="271"/>
      <c r="G38" s="271"/>
      <c r="H38" s="272">
        <f>H36+H37</f>
        <v>23050.84745762712</v>
      </c>
      <c r="I38" s="273">
        <f>I36+I37</f>
        <v>136</v>
      </c>
      <c r="J38" s="144">
        <f>I38/I49*100</f>
        <v>6.181227791801396</v>
      </c>
      <c r="K38" s="272">
        <f>K36+K37</f>
        <v>23050.84745762712</v>
      </c>
      <c r="L38" s="273">
        <f>L36+L37</f>
        <v>136</v>
      </c>
      <c r="M38" s="144">
        <f>L38/L49*100</f>
        <v>6.596003538989556</v>
      </c>
      <c r="N38" s="15"/>
    </row>
    <row r="39" spans="2:14" ht="16.5" customHeight="1">
      <c r="B39" s="15"/>
      <c r="C39" s="32" t="s">
        <v>401</v>
      </c>
      <c r="D39" s="39" t="s">
        <v>562</v>
      </c>
      <c r="E39" s="39" t="s">
        <v>561</v>
      </c>
      <c r="F39" s="32">
        <f>'熱処理梱包'!D16</f>
        <v>55</v>
      </c>
      <c r="G39" s="32">
        <f>'熱処理梱包'!E16</f>
        <v>55</v>
      </c>
      <c r="H39" s="314">
        <f>'熱処理梱包'!F16</f>
        <v>13050.847457627118</v>
      </c>
      <c r="I39" s="32">
        <f>H39*F6/1000</f>
        <v>77</v>
      </c>
      <c r="J39" s="144">
        <f>I39/I49*100</f>
        <v>3.499665735064026</v>
      </c>
      <c r="K39" s="314">
        <f>'熱処理梱包'!G16</f>
        <v>13050.847457627118</v>
      </c>
      <c r="L39" s="32">
        <f>K39*G6/1000</f>
        <v>77</v>
      </c>
      <c r="M39" s="144">
        <f>L39/L49*100</f>
        <v>3.7345020036926155</v>
      </c>
      <c r="N39" s="15"/>
    </row>
    <row r="40" spans="2:14" ht="18" customHeight="1">
      <c r="B40" s="15"/>
      <c r="C40" s="32" t="s">
        <v>122</v>
      </c>
      <c r="D40" s="33"/>
      <c r="E40" s="245" t="s">
        <v>561</v>
      </c>
      <c r="F40" s="32">
        <f>'熱処理梱包'!D13</f>
        <v>55</v>
      </c>
      <c r="G40" s="32">
        <f>'熱処理梱包'!E13</f>
        <v>55</v>
      </c>
      <c r="H40" s="314">
        <f>'熱処理梱包'!F13</f>
        <v>5593.22033898305</v>
      </c>
      <c r="I40" s="316">
        <f>H40*F6/1000</f>
        <v>33</v>
      </c>
      <c r="J40" s="144">
        <f>I40/I49*100</f>
        <v>1.4998567435988681</v>
      </c>
      <c r="K40" s="314">
        <f>'熱処理梱包'!G13</f>
        <v>5593.22033898305</v>
      </c>
      <c r="L40" s="316">
        <f>K40*G6/1000</f>
        <v>33</v>
      </c>
      <c r="M40" s="144">
        <f>L40/L49*100</f>
        <v>1.600500858725407</v>
      </c>
      <c r="N40" s="15"/>
    </row>
    <row r="41" spans="2:14" ht="21.75" customHeight="1">
      <c r="B41" s="15"/>
      <c r="C41" s="18"/>
      <c r="D41" s="282" t="s">
        <v>532</v>
      </c>
      <c r="E41" s="317"/>
      <c r="F41" s="317"/>
      <c r="G41" s="317"/>
      <c r="H41" s="284">
        <f>H35+H38+H39+H40</f>
        <v>96694.9152542373</v>
      </c>
      <c r="I41" s="285">
        <f>I35+I38+I39+I40</f>
        <v>570.5</v>
      </c>
      <c r="J41" s="263">
        <f>I41/I49*100</f>
        <v>25.929341582519825</v>
      </c>
      <c r="K41" s="284">
        <f>K35+K38+K39+K40</f>
        <v>96694.9152542373</v>
      </c>
      <c r="L41" s="285">
        <f>L35+L38+L39+L40</f>
        <v>570.5</v>
      </c>
      <c r="M41" s="263">
        <f>L41/L49*100</f>
        <v>27.66926484554075</v>
      </c>
      <c r="N41" s="15"/>
    </row>
    <row r="42" spans="2:14" ht="13.5" customHeight="1">
      <c r="B42" s="224"/>
      <c r="C42" s="18"/>
      <c r="D42" s="286" t="s">
        <v>563</v>
      </c>
      <c r="E42" s="286" t="s">
        <v>564</v>
      </c>
      <c r="F42" s="54">
        <f>'熱処理梱包'!D20</f>
        <v>3300</v>
      </c>
      <c r="G42" s="54">
        <f>'熱処理梱包'!E20</f>
        <v>3300</v>
      </c>
      <c r="H42" s="287">
        <f>F42/'熱処理梱包'!D21*1000/F6</f>
        <v>5593.22033898305</v>
      </c>
      <c r="I42" s="120">
        <f>'熱処理梱包'!F22</f>
        <v>33</v>
      </c>
      <c r="J42" s="263"/>
      <c r="K42" s="287">
        <f>G42/'熱処理梱包'!E21*1000/F6</f>
        <v>5593.22033898305</v>
      </c>
      <c r="L42" s="120">
        <f>'熱処理梱包'!G22</f>
        <v>33</v>
      </c>
      <c r="M42" s="263"/>
      <c r="N42" s="15"/>
    </row>
    <row r="43" spans="2:14" ht="13.5" customHeight="1">
      <c r="B43" s="28" t="s">
        <v>565</v>
      </c>
      <c r="D43" s="295" t="s">
        <v>525</v>
      </c>
      <c r="E43" s="295" t="s">
        <v>341</v>
      </c>
      <c r="F43" s="32"/>
      <c r="G43" s="32"/>
      <c r="H43" s="314">
        <f>'熱処理梱包'!F23*1000/F6</f>
        <v>9322.033898305084</v>
      </c>
      <c r="I43" s="32">
        <f>'熱処理梱包'!F23</f>
        <v>55</v>
      </c>
      <c r="J43" s="144"/>
      <c r="K43" s="314">
        <f>'熱処理梱包'!G23*1000/G6</f>
        <v>9322.033898305084</v>
      </c>
      <c r="L43" s="316">
        <f>'熱処理梱包'!G23</f>
        <v>55</v>
      </c>
      <c r="M43" s="48"/>
      <c r="N43" s="15"/>
    </row>
    <row r="44" spans="2:14" ht="19.5" customHeight="1">
      <c r="B44" s="15"/>
      <c r="D44" s="281" t="s">
        <v>351</v>
      </c>
      <c r="E44" s="271"/>
      <c r="F44" s="271"/>
      <c r="G44" s="271"/>
      <c r="H44" s="272">
        <f>H42+H43</f>
        <v>14915.254237288134</v>
      </c>
      <c r="I44" s="273">
        <f>I42+I43</f>
        <v>88</v>
      </c>
      <c r="J44" s="144">
        <f>I44/I49*100</f>
        <v>3.9996179829303156</v>
      </c>
      <c r="K44" s="272">
        <f>K42+K43</f>
        <v>14915.254237288134</v>
      </c>
      <c r="L44" s="273">
        <f>L42+L43</f>
        <v>88</v>
      </c>
      <c r="M44" s="144">
        <f>L44/L49*100</f>
        <v>4.268002289934418</v>
      </c>
      <c r="N44" s="15"/>
    </row>
    <row r="45" spans="2:14" ht="19.5" customHeight="1">
      <c r="B45" s="551" t="s">
        <v>886</v>
      </c>
      <c r="C45" s="18"/>
      <c r="D45" s="18"/>
      <c r="E45" s="54" t="s">
        <v>552</v>
      </c>
      <c r="F45" s="552">
        <v>10</v>
      </c>
      <c r="G45" s="552">
        <v>10</v>
      </c>
      <c r="H45" s="287">
        <f>F45*1000</f>
        <v>10000</v>
      </c>
      <c r="I45" s="120">
        <f>H45*F6/1000</f>
        <v>59</v>
      </c>
      <c r="J45" s="263">
        <f>I45/I49*100</f>
        <v>2.6815620567373704</v>
      </c>
      <c r="K45" s="287">
        <f>G45*1000</f>
        <v>10000</v>
      </c>
      <c r="L45" s="120">
        <f>K45*G6/1000</f>
        <v>59</v>
      </c>
      <c r="M45" s="263">
        <f>L45/L49*100</f>
        <v>2.8615015352969393</v>
      </c>
      <c r="N45" s="15"/>
    </row>
    <row r="46" spans="2:14" ht="19.5" customHeight="1">
      <c r="B46" s="318" t="s">
        <v>566</v>
      </c>
      <c r="C46" s="319"/>
      <c r="D46" s="319"/>
      <c r="E46" s="271"/>
      <c r="F46" s="271"/>
      <c r="G46" s="271"/>
      <c r="H46" s="272">
        <f>H16+H25+H31+H41+H44+H45</f>
        <v>316906.43028100027</v>
      </c>
      <c r="I46" s="273">
        <f>I16+I25+I31+I41+I44+I45</f>
        <v>1869.7479386579014</v>
      </c>
      <c r="J46" s="144">
        <f>I46/I49*100</f>
        <v>84.98042589776172</v>
      </c>
      <c r="K46" s="272">
        <f>K16+K25+K31+K41+K44+K45</f>
        <v>296515.0425710371</v>
      </c>
      <c r="L46" s="273">
        <f>L16+L25+L31+L41+L44+L45</f>
        <v>1749.4387511691189</v>
      </c>
      <c r="M46" s="144">
        <f>L46/L49*100</f>
        <v>84.847824955566</v>
      </c>
      <c r="N46" s="15"/>
    </row>
    <row r="47" spans="2:14" ht="19.5" customHeight="1">
      <c r="B47" s="59" t="s">
        <v>567</v>
      </c>
      <c r="C47" s="18"/>
      <c r="D47" s="18"/>
      <c r="E47" s="60"/>
      <c r="F47" s="60"/>
      <c r="G47" s="60"/>
      <c r="H47" s="287">
        <f>H46*H54/100</f>
        <v>47535.96454215004</v>
      </c>
      <c r="I47" s="120">
        <f>I46*H54/100</f>
        <v>280.46219079868524</v>
      </c>
      <c r="J47" s="263">
        <f>I47/I49*100</f>
        <v>12.747063884664259</v>
      </c>
      <c r="K47" s="287">
        <f>K46*H54/100</f>
        <v>44477.256385655564</v>
      </c>
      <c r="L47" s="120">
        <f>L46*H54/100</f>
        <v>262.4158126753678</v>
      </c>
      <c r="M47" s="263">
        <f>L47/L49*100</f>
        <v>12.7271737433349</v>
      </c>
      <c r="N47" s="15"/>
    </row>
    <row r="48" spans="2:14" ht="21" customHeight="1">
      <c r="B48" s="63" t="s">
        <v>568</v>
      </c>
      <c r="C48" s="6"/>
      <c r="D48" s="6"/>
      <c r="E48" s="48"/>
      <c r="F48" s="48"/>
      <c r="G48" s="48"/>
      <c r="H48" s="314">
        <f>I48*1000/F6</f>
        <v>8474.57627118644</v>
      </c>
      <c r="I48" s="553">
        <v>50</v>
      </c>
      <c r="J48" s="144">
        <f>I48/I49*100</f>
        <v>2.272510217574043</v>
      </c>
      <c r="K48" s="314">
        <f>L48*1000/G6</f>
        <v>8474.57627118644</v>
      </c>
      <c r="L48" s="553">
        <v>50</v>
      </c>
      <c r="M48" s="144">
        <f>L48/L49*100</f>
        <v>2.425001301099101</v>
      </c>
      <c r="N48" s="15"/>
    </row>
    <row r="49" spans="2:14" ht="21.75" customHeight="1">
      <c r="B49" s="313" t="s">
        <v>569</v>
      </c>
      <c r="C49" s="320"/>
      <c r="D49" s="320"/>
      <c r="E49" s="317"/>
      <c r="F49" s="317"/>
      <c r="G49" s="317"/>
      <c r="H49" s="284">
        <f>H46+H47+H48</f>
        <v>372916.97109433677</v>
      </c>
      <c r="I49" s="285">
        <f>I46+I47+I48</f>
        <v>2200.2101294565864</v>
      </c>
      <c r="J49" s="321">
        <f>(I49/I49*100)</f>
        <v>100</v>
      </c>
      <c r="K49" s="284">
        <f>K46+K47+K48</f>
        <v>349466.8752278791</v>
      </c>
      <c r="L49" s="285">
        <f>L46+L47+L48</f>
        <v>2061.8545638444866</v>
      </c>
      <c r="M49" s="321">
        <f>(L49/L49*100)</f>
        <v>100</v>
      </c>
      <c r="N49" s="15"/>
    </row>
    <row r="50" spans="2:13" ht="14.25">
      <c r="B50" s="22"/>
      <c r="C50" s="22"/>
      <c r="D50" s="22"/>
      <c r="E50" s="322" t="s">
        <v>570</v>
      </c>
      <c r="F50" s="323"/>
      <c r="G50" s="22"/>
      <c r="H50" s="324">
        <f>H14+H24+H31+H43</f>
        <v>94139.12047268136</v>
      </c>
      <c r="I50" s="324">
        <f>I14+I24+I31+I43</f>
        <v>555.42081078882</v>
      </c>
      <c r="J50" s="23">
        <f>I50/I49*100</f>
        <v>25.24398935141705</v>
      </c>
      <c r="K50" s="324">
        <f>K14+K24+K31+K43</f>
        <v>79998.64460224865</v>
      </c>
      <c r="L50" s="324">
        <f>L14+L24+L31+L43</f>
        <v>471.9920031532669</v>
      </c>
      <c r="M50" s="23">
        <f>L50/L49*100</f>
        <v>22.89162443510087</v>
      </c>
    </row>
    <row r="51" spans="5:11" ht="14.25">
      <c r="E51" s="94" t="s">
        <v>341</v>
      </c>
      <c r="F51" s="325">
        <f>F14+F24+F31</f>
        <v>13.026212548032387</v>
      </c>
      <c r="G51" s="325">
        <f>G14+G24+G31</f>
        <v>10.854516131557471</v>
      </c>
      <c r="H51" s="325">
        <f>H50/H58</f>
        <v>14.457890996841193</v>
      </c>
      <c r="I51" s="325"/>
      <c r="J51" s="325"/>
      <c r="K51" s="325">
        <f>K50/K58</f>
        <v>12.286194395699704</v>
      </c>
    </row>
    <row r="52" ht="14.25">
      <c r="E52" s="94" t="s">
        <v>571</v>
      </c>
    </row>
    <row r="53" spans="2:9" ht="14.25">
      <c r="B53" s="248"/>
      <c r="E53" s="94" t="s">
        <v>572</v>
      </c>
      <c r="F53" s="94" t="s">
        <v>573</v>
      </c>
      <c r="H53" s="554">
        <v>35</v>
      </c>
      <c r="I53" s="94" t="s">
        <v>574</v>
      </c>
    </row>
    <row r="54" spans="5:9" ht="14.25">
      <c r="E54" s="94" t="s">
        <v>575</v>
      </c>
      <c r="F54" s="94" t="s">
        <v>576</v>
      </c>
      <c r="H54" s="554">
        <v>15</v>
      </c>
      <c r="I54" s="94" t="s">
        <v>574</v>
      </c>
    </row>
    <row r="55" spans="5:13" ht="14.25">
      <c r="E55" s="326"/>
      <c r="F55" s="309"/>
      <c r="G55" s="309"/>
      <c r="H55" s="327" t="str">
        <f>H3</f>
        <v>方案歩留り５０％</v>
      </c>
      <c r="I55" s="309"/>
      <c r="J55" s="309"/>
      <c r="K55" s="327" t="str">
        <f>K3</f>
        <v>方案歩留り６０％</v>
      </c>
      <c r="L55" s="309"/>
      <c r="M55" s="328"/>
    </row>
    <row r="56" spans="5:13" ht="14.25">
      <c r="E56" s="329" t="s">
        <v>577</v>
      </c>
      <c r="F56" s="327" t="s">
        <v>578</v>
      </c>
      <c r="G56" s="309"/>
      <c r="H56" s="330">
        <f>'賃率、経費'!G12</f>
        <v>6511.266511266511</v>
      </c>
      <c r="I56" s="331" t="s">
        <v>579</v>
      </c>
      <c r="J56" s="309"/>
      <c r="K56" s="330">
        <f>'賃率、経費'!H12</f>
        <v>6511.266511266511</v>
      </c>
      <c r="L56" s="331" t="s">
        <v>579</v>
      </c>
      <c r="M56" s="328"/>
    </row>
    <row r="57" spans="5:13" ht="14.25">
      <c r="E57" s="328"/>
      <c r="F57" s="327" t="s">
        <v>580</v>
      </c>
      <c r="G57" s="309"/>
      <c r="H57" s="330">
        <f>'賃率、経費'!G14</f>
        <v>3651.9036519036517</v>
      </c>
      <c r="I57" s="331" t="s">
        <v>579</v>
      </c>
      <c r="J57" s="309"/>
      <c r="K57" s="330">
        <f>'賃率、経費'!H14</f>
        <v>3651.9036519036517</v>
      </c>
      <c r="L57" s="331" t="s">
        <v>579</v>
      </c>
      <c r="M57" s="328"/>
    </row>
    <row r="58" spans="5:13" ht="14.25">
      <c r="E58" s="328"/>
      <c r="F58" s="332" t="s">
        <v>581</v>
      </c>
      <c r="G58" s="309"/>
      <c r="H58" s="330">
        <f>'賃率、経費'!G20</f>
        <v>6511.262292214624</v>
      </c>
      <c r="I58" s="331" t="s">
        <v>579</v>
      </c>
      <c r="J58" s="309"/>
      <c r="K58" s="330">
        <f>'賃率、経費'!H20</f>
        <v>6511.263132076846</v>
      </c>
      <c r="L58" s="331" t="s">
        <v>579</v>
      </c>
      <c r="M58" s="328"/>
    </row>
    <row r="59" spans="5:12" ht="14.25">
      <c r="E59" s="309"/>
      <c r="F59" s="309"/>
      <c r="G59" s="309"/>
      <c r="H59" s="309"/>
      <c r="I59" s="309"/>
      <c r="J59" s="309"/>
      <c r="K59" s="309"/>
      <c r="L59" s="309"/>
    </row>
    <row r="62" spans="4:5" ht="14.25">
      <c r="D62" s="485" t="s">
        <v>870</v>
      </c>
      <c r="E62" s="94" t="s">
        <v>868</v>
      </c>
    </row>
    <row r="63" spans="5:7" ht="14.25">
      <c r="E63" s="94" t="s">
        <v>871</v>
      </c>
      <c r="F63" s="486"/>
      <c r="G63" s="248" t="s">
        <v>869</v>
      </c>
    </row>
  </sheetData>
  <mergeCells count="3">
    <mergeCell ref="F3:G3"/>
    <mergeCell ref="H3:I3"/>
    <mergeCell ref="K3:L3"/>
  </mergeCells>
  <printOptions/>
  <pageMargins left="0.31496062992125984" right="0.3937007874015748" top="0.3937007874015748" bottom="0.3937007874015748"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X239"/>
  <sheetViews>
    <sheetView showGridLines="0" showOutlineSymbols="0" zoomScale="87" zoomScaleNormal="87" workbookViewId="0" topLeftCell="C19">
      <selection activeCell="X40" sqref="X40"/>
    </sheetView>
  </sheetViews>
  <sheetFormatPr defaultColWidth="9.00390625" defaultRowHeight="14.25"/>
  <cols>
    <col min="1" max="1" width="11.75390625" style="0" customWidth="1"/>
    <col min="2" max="2" width="5.75390625" style="0" customWidth="1"/>
    <col min="3" max="3" width="3.75390625" style="0" customWidth="1"/>
    <col min="4" max="4" width="5.75390625" style="0" customWidth="1"/>
    <col min="5" max="5" width="2.75390625" style="0" customWidth="1"/>
    <col min="6" max="6" width="6.75390625" style="0" customWidth="1"/>
    <col min="7" max="7" width="3.75390625" style="0" customWidth="1"/>
    <col min="8" max="8" width="7.75390625" style="0" customWidth="1"/>
    <col min="9" max="9" width="3.75390625" style="0" customWidth="1"/>
    <col min="10" max="10" width="7.75390625" style="0" customWidth="1"/>
    <col min="11" max="11" width="3.75390625" style="0" customWidth="1"/>
    <col min="12" max="12" width="6.75390625" style="0" customWidth="1"/>
    <col min="13" max="13" width="5.625" style="0" customWidth="1"/>
    <col min="14" max="14" width="7.75390625" style="0" customWidth="1"/>
    <col min="15" max="15" width="3.75390625" style="0" customWidth="1"/>
    <col min="16" max="16" width="6.75390625" style="0" customWidth="1"/>
    <col min="17" max="17" width="3.75390625" style="0" customWidth="1"/>
    <col min="18" max="18" width="6.75390625" style="0" customWidth="1"/>
    <col min="19" max="19" width="3.75390625" style="0" customWidth="1"/>
    <col min="20" max="20" width="7.75390625" style="0" customWidth="1"/>
    <col min="21" max="22" width="10.375" style="0" customWidth="1"/>
    <col min="23" max="23" width="6.75390625" style="0" customWidth="1"/>
    <col min="24" max="16384" width="10.75390625" style="0" customWidth="1"/>
  </cols>
  <sheetData>
    <row r="1" spans="1:20" ht="27.75" customHeight="1">
      <c r="A1" s="251">
        <v>36476</v>
      </c>
      <c r="D1" s="89" t="s">
        <v>582</v>
      </c>
      <c r="K1" s="24" t="str">
        <f>'ｺｽﾄ表'!G1</f>
        <v> </v>
      </c>
      <c r="T1" s="24" t="s">
        <v>583</v>
      </c>
    </row>
    <row r="2" ht="21.75" customHeight="1">
      <c r="B2" s="94" t="s">
        <v>584</v>
      </c>
    </row>
    <row r="3" spans="1:24" ht="27.75" customHeight="1">
      <c r="A3" s="24" t="s">
        <v>585</v>
      </c>
      <c r="E3" s="333" t="s">
        <v>586</v>
      </c>
      <c r="X3" s="90" t="s">
        <v>587</v>
      </c>
    </row>
    <row r="4" spans="1:24" ht="22.5" customHeight="1">
      <c r="A4" s="24" t="s">
        <v>588</v>
      </c>
      <c r="B4" s="334" t="s">
        <v>589</v>
      </c>
      <c r="E4" s="335" t="s">
        <v>590</v>
      </c>
      <c r="N4" s="94" t="s">
        <v>591</v>
      </c>
      <c r="X4" s="90" t="s">
        <v>592</v>
      </c>
    </row>
    <row r="5" spans="2:24" ht="21" customHeight="1">
      <c r="B5" t="str">
        <f>B8</f>
        <v>方案歩留り５０％</v>
      </c>
      <c r="E5" s="88" t="s">
        <v>423</v>
      </c>
      <c r="F5">
        <f>'設定条件表'!F5</f>
        <v>599.542</v>
      </c>
      <c r="G5" t="s">
        <v>593</v>
      </c>
      <c r="H5">
        <f>'設定条件表'!F10/100</f>
        <v>0.9967558542334796</v>
      </c>
      <c r="I5" t="s">
        <v>593</v>
      </c>
      <c r="J5" s="75">
        <f>'設定条件表'!F11/100</f>
        <v>0.5000000000000001</v>
      </c>
      <c r="K5" t="s">
        <v>593</v>
      </c>
      <c r="L5">
        <f>1-'設定条件表'!F12/100</f>
        <v>0.95</v>
      </c>
      <c r="M5" s="88" t="s">
        <v>423</v>
      </c>
      <c r="N5" s="336">
        <f>'設定条件表'!E42</f>
        <v>1266.3017516773677</v>
      </c>
      <c r="O5" s="88" t="s">
        <v>594</v>
      </c>
      <c r="X5" s="337">
        <f>F5/H5/J5/L5</f>
        <v>1266.3017516773677</v>
      </c>
    </row>
    <row r="6" spans="2:24" ht="18" customHeight="1">
      <c r="B6" t="str">
        <f>B9</f>
        <v>方案歩留り６０％</v>
      </c>
      <c r="E6" s="88" t="s">
        <v>423</v>
      </c>
      <c r="F6">
        <f>'設定条件表'!G5</f>
        <v>719.494</v>
      </c>
      <c r="G6" t="s">
        <v>593</v>
      </c>
      <c r="H6">
        <f>'設定条件表'!G10/100</f>
        <v>0.9968165339368631</v>
      </c>
      <c r="I6" t="s">
        <v>593</v>
      </c>
      <c r="J6" s="75">
        <f>'設定条件表'!G11/100</f>
        <v>0.6000000000000001</v>
      </c>
      <c r="K6" t="s">
        <v>593</v>
      </c>
      <c r="L6">
        <f>1-'設定条件表'!G12/100</f>
        <v>0.95</v>
      </c>
      <c r="M6" s="88" t="s">
        <v>423</v>
      </c>
      <c r="N6" s="336">
        <f>'設定条件表'!F42</f>
        <v>1266.3014029806882</v>
      </c>
      <c r="O6" s="88" t="s">
        <v>594</v>
      </c>
      <c r="X6" s="337">
        <f>F6/H6/J6/L6</f>
        <v>1266.301402980688</v>
      </c>
    </row>
    <row r="7" spans="1:24" ht="21.75" customHeight="1">
      <c r="A7" s="24" t="s">
        <v>595</v>
      </c>
      <c r="B7" s="94" t="s">
        <v>596</v>
      </c>
      <c r="F7" s="334" t="s">
        <v>597</v>
      </c>
      <c r="J7" s="338" t="s">
        <v>598</v>
      </c>
      <c r="X7" s="339"/>
    </row>
    <row r="8" spans="2:24" ht="15.75" customHeight="1">
      <c r="B8" t="str">
        <f>A65</f>
        <v>方案歩留り５０％</v>
      </c>
      <c r="E8" s="88" t="s">
        <v>423</v>
      </c>
      <c r="F8">
        <f>N5</f>
        <v>1266.3017516773677</v>
      </c>
      <c r="G8" t="s">
        <v>593</v>
      </c>
      <c r="H8">
        <f>F5</f>
        <v>599.542</v>
      </c>
      <c r="I8" s="88" t="s">
        <v>423</v>
      </c>
      <c r="J8" s="8">
        <f>'設定条件表'!E49</f>
        <v>2.1121151673733745</v>
      </c>
      <c r="X8" s="340">
        <f>F8/H8</f>
        <v>2.1121151673733745</v>
      </c>
    </row>
    <row r="9" spans="2:24" ht="18.75" customHeight="1">
      <c r="B9" t="str">
        <f>A68</f>
        <v>方案歩留り６０％</v>
      </c>
      <c r="E9" s="88" t="s">
        <v>423</v>
      </c>
      <c r="F9">
        <f>N6</f>
        <v>1266.3014029806882</v>
      </c>
      <c r="G9" t="s">
        <v>593</v>
      </c>
      <c r="H9">
        <f>F6</f>
        <v>719.494</v>
      </c>
      <c r="I9" s="88" t="s">
        <v>423</v>
      </c>
      <c r="J9" s="8">
        <f>'設定条件表'!F49</f>
        <v>1.7599888296228852</v>
      </c>
      <c r="X9" s="340">
        <f>F9/H9</f>
        <v>1.7599888296228852</v>
      </c>
    </row>
    <row r="10" spans="1:24" ht="24" customHeight="1">
      <c r="A10" s="90" t="s">
        <v>599</v>
      </c>
      <c r="B10" t="s">
        <v>600</v>
      </c>
      <c r="H10" s="334" t="s">
        <v>601</v>
      </c>
      <c r="X10" s="339"/>
    </row>
    <row r="11" spans="2:24" ht="18.75" customHeight="1">
      <c r="B11" s="335" t="s">
        <v>602</v>
      </c>
      <c r="X11" s="339"/>
    </row>
    <row r="12" spans="2:24" ht="15.75" customHeight="1">
      <c r="B12" t="str">
        <f>B8</f>
        <v>方案歩留り５０％</v>
      </c>
      <c r="E12" s="94" t="s">
        <v>155</v>
      </c>
      <c r="F12" s="248"/>
      <c r="G12" t="str">
        <f>E32</f>
        <v>＝</v>
      </c>
      <c r="H12">
        <f>N5</f>
        <v>1266.3017516773677</v>
      </c>
      <c r="I12" s="94" t="s">
        <v>603</v>
      </c>
      <c r="J12" s="341">
        <f>H5</f>
        <v>0.9967558542334796</v>
      </c>
      <c r="K12" s="94" t="s">
        <v>604</v>
      </c>
      <c r="L12" s="75">
        <v>1</v>
      </c>
      <c r="M12" s="88" t="s">
        <v>605</v>
      </c>
      <c r="N12" s="75">
        <f>J5</f>
        <v>0.5000000000000001</v>
      </c>
      <c r="O12" s="88" t="s">
        <v>606</v>
      </c>
      <c r="P12" s="75">
        <f>'操業条件'!Z17</f>
        <v>631.0968421052628</v>
      </c>
      <c r="Q12" s="88" t="s">
        <v>594</v>
      </c>
      <c r="X12" s="342">
        <f>H12*J12*(L12-N12)</f>
        <v>631.096842105263</v>
      </c>
    </row>
    <row r="13" spans="5:24" ht="15.75" customHeight="1">
      <c r="E13" s="94" t="s">
        <v>157</v>
      </c>
      <c r="F13" s="248"/>
      <c r="G13" t="str">
        <f>E32</f>
        <v>＝</v>
      </c>
      <c r="H13">
        <f>N5</f>
        <v>1266.3017516773677</v>
      </c>
      <c r="I13" s="94" t="s">
        <v>603</v>
      </c>
      <c r="J13" s="341">
        <f>H5</f>
        <v>0.9967558542334796</v>
      </c>
      <c r="K13" s="94" t="s">
        <v>603</v>
      </c>
      <c r="L13" s="75">
        <f>J5</f>
        <v>0.5000000000000001</v>
      </c>
      <c r="M13" s="94" t="s">
        <v>603</v>
      </c>
      <c r="N13" s="75">
        <f>'設定条件表'!F12/100</f>
        <v>0.05</v>
      </c>
      <c r="O13" s="88" t="s">
        <v>423</v>
      </c>
      <c r="P13" s="75">
        <f>'操業条件'!Z18</f>
        <v>31.55484210526316</v>
      </c>
      <c r="Q13" t="s">
        <v>607</v>
      </c>
      <c r="S13" t="s">
        <v>608</v>
      </c>
      <c r="T13" s="343">
        <f>'操業条件'!Z19</f>
        <v>662.6516842105259</v>
      </c>
      <c r="X13" s="342">
        <f>H13*J13*L13*N13</f>
        <v>31.554842105263162</v>
      </c>
    </row>
    <row r="14" spans="2:24" ht="21.75" customHeight="1">
      <c r="B14" t="str">
        <f>B9</f>
        <v>方案歩留り６０％</v>
      </c>
      <c r="E14" s="94" t="s">
        <v>155</v>
      </c>
      <c r="F14" s="248"/>
      <c r="G14" t="str">
        <f>E34</f>
        <v>＝</v>
      </c>
      <c r="H14">
        <f>N6</f>
        <v>1266.3014029806882</v>
      </c>
      <c r="I14" s="94" t="s">
        <v>603</v>
      </c>
      <c r="J14">
        <f>H6</f>
        <v>0.9968165339368631</v>
      </c>
      <c r="K14" s="94" t="s">
        <v>604</v>
      </c>
      <c r="L14" s="75">
        <v>1</v>
      </c>
      <c r="M14" s="88" t="s">
        <v>605</v>
      </c>
      <c r="N14" s="75">
        <f>J6</f>
        <v>0.6000000000000001</v>
      </c>
      <c r="O14" s="88" t="s">
        <v>606</v>
      </c>
      <c r="P14" s="75">
        <f>'操業条件'!AA17</f>
        <v>504.90807017543847</v>
      </c>
      <c r="Q14" s="88" t="s">
        <v>594</v>
      </c>
      <c r="T14" s="344"/>
      <c r="X14" s="342">
        <f>H14*J14*(L14-N14)</f>
        <v>504.90807017543847</v>
      </c>
    </row>
    <row r="15" spans="5:24" ht="16.5" customHeight="1">
      <c r="E15" s="94" t="s">
        <v>157</v>
      </c>
      <c r="F15" s="248"/>
      <c r="G15" t="str">
        <f>E34</f>
        <v>＝</v>
      </c>
      <c r="H15">
        <f>H14</f>
        <v>1266.3014029806882</v>
      </c>
      <c r="I15" s="94" t="s">
        <v>603</v>
      </c>
      <c r="J15">
        <f>H6</f>
        <v>0.9968165339368631</v>
      </c>
      <c r="K15" s="94" t="s">
        <v>603</v>
      </c>
      <c r="L15" s="75">
        <f>J6</f>
        <v>0.6000000000000001</v>
      </c>
      <c r="M15" s="94" t="s">
        <v>603</v>
      </c>
      <c r="N15" s="75">
        <f>'設定条件表'!G12/100</f>
        <v>0.05</v>
      </c>
      <c r="O15" s="88" t="s">
        <v>423</v>
      </c>
      <c r="P15" s="75">
        <f>'操業条件'!AA18</f>
        <v>37.8681052631579</v>
      </c>
      <c r="Q15" t="s">
        <v>607</v>
      </c>
      <c r="S15" t="s">
        <v>608</v>
      </c>
      <c r="T15" s="345">
        <f>'操業条件'!AA19</f>
        <v>542.7761754385964</v>
      </c>
      <c r="X15" s="342">
        <f>H15*J15*L15*N15</f>
        <v>37.8681052631579</v>
      </c>
    </row>
    <row r="16" spans="1:24" ht="21.75" customHeight="1">
      <c r="A16" s="90" t="s">
        <v>609</v>
      </c>
      <c r="B16" s="94" t="s">
        <v>610</v>
      </c>
      <c r="G16" s="334" t="s">
        <v>611</v>
      </c>
      <c r="K16" s="338" t="s">
        <v>612</v>
      </c>
      <c r="X16" s="339"/>
    </row>
    <row r="17" spans="2:24" ht="18.75" customHeight="1">
      <c r="B17" s="94" t="str">
        <f>B8</f>
        <v>方案歩留り５０％</v>
      </c>
      <c r="E17" s="88" t="s">
        <v>423</v>
      </c>
      <c r="F17" s="75">
        <f>T13</f>
        <v>662.6516842105259</v>
      </c>
      <c r="G17" t="s">
        <v>593</v>
      </c>
      <c r="H17">
        <f>N5</f>
        <v>1266.3017516773677</v>
      </c>
      <c r="I17" s="88" t="s">
        <v>423</v>
      </c>
      <c r="J17" s="341">
        <f>T17</f>
        <v>0.5232968234725764</v>
      </c>
      <c r="K17" t="s">
        <v>613</v>
      </c>
      <c r="S17" s="88" t="s">
        <v>423</v>
      </c>
      <c r="T17" s="346">
        <f>'設定条件表'!E50</f>
        <v>0.5232968234725764</v>
      </c>
      <c r="X17" s="342">
        <f>F17/H17</f>
        <v>0.5232968234725764</v>
      </c>
    </row>
    <row r="18" spans="2:24" ht="15" customHeight="1">
      <c r="B18" s="94" t="str">
        <f>B9</f>
        <v>方案歩留り６０％</v>
      </c>
      <c r="E18" s="88" t="s">
        <v>423</v>
      </c>
      <c r="F18" s="75">
        <f>T15</f>
        <v>542.7761754385964</v>
      </c>
      <c r="G18" t="s">
        <v>593</v>
      </c>
      <c r="H18">
        <f>N6</f>
        <v>1266.3014029806882</v>
      </c>
      <c r="I18" s="88" t="s">
        <v>423</v>
      </c>
      <c r="J18" s="341">
        <f>T18</f>
        <v>0.42863110959285106</v>
      </c>
      <c r="K18" t="s">
        <v>613</v>
      </c>
      <c r="S18" s="88" t="s">
        <v>423</v>
      </c>
      <c r="T18" s="346">
        <f>'設定条件表'!F50</f>
        <v>0.42863110959285106</v>
      </c>
      <c r="X18" s="342">
        <f>F18/H18</f>
        <v>0.42863110959285106</v>
      </c>
    </row>
    <row r="19" spans="1:15" ht="24" customHeight="1">
      <c r="A19" s="24" t="s">
        <v>614</v>
      </c>
      <c r="E19" s="335" t="s">
        <v>615</v>
      </c>
      <c r="O19" s="338" t="s">
        <v>616</v>
      </c>
    </row>
    <row r="20" spans="2:24" ht="16.5" customHeight="1">
      <c r="B20" t="str">
        <f>B17</f>
        <v>方案歩留り５０％</v>
      </c>
      <c r="E20" s="88" t="s">
        <v>423</v>
      </c>
      <c r="F20">
        <f>'配合'!M9/1000</f>
        <v>3</v>
      </c>
      <c r="G20" s="94" t="s">
        <v>603</v>
      </c>
      <c r="H20">
        <v>60</v>
      </c>
      <c r="I20" s="88" t="s">
        <v>617</v>
      </c>
      <c r="J20">
        <f>'操業条件'!C6</f>
        <v>50</v>
      </c>
      <c r="K20" s="94" t="s">
        <v>618</v>
      </c>
      <c r="L20">
        <f>'操業条件'!C7</f>
        <v>5</v>
      </c>
      <c r="M20" s="88" t="s">
        <v>606</v>
      </c>
      <c r="N20" s="75">
        <f>'設定条件表'!F8</f>
        <v>3.272727272727273</v>
      </c>
      <c r="O20" t="s">
        <v>619</v>
      </c>
      <c r="S20" s="88" t="s">
        <v>423</v>
      </c>
      <c r="T20" s="347">
        <f>N20</f>
        <v>3.272727272727273</v>
      </c>
      <c r="X20" s="348">
        <f>F20*H20/(J20+L20)</f>
        <v>3.272727272727273</v>
      </c>
    </row>
    <row r="21" spans="2:24" ht="15.75" customHeight="1">
      <c r="B21" t="str">
        <f>B18</f>
        <v>方案歩留り６０％</v>
      </c>
      <c r="E21" s="88" t="s">
        <v>423</v>
      </c>
      <c r="F21">
        <f>'配合'!M9/1000</f>
        <v>3</v>
      </c>
      <c r="G21" s="94" t="s">
        <v>603</v>
      </c>
      <c r="H21">
        <v>60</v>
      </c>
      <c r="I21" s="88" t="s">
        <v>617</v>
      </c>
      <c r="J21">
        <f>'操業条件'!D6</f>
        <v>50</v>
      </c>
      <c r="K21" s="94" t="s">
        <v>618</v>
      </c>
      <c r="L21">
        <f>'操業条件'!D7</f>
        <v>5</v>
      </c>
      <c r="M21" s="88" t="s">
        <v>606</v>
      </c>
      <c r="N21" s="75">
        <f>'設定条件表'!G8</f>
        <v>3.272727272727273</v>
      </c>
      <c r="O21" t="s">
        <v>619</v>
      </c>
      <c r="S21" s="88" t="s">
        <v>423</v>
      </c>
      <c r="T21" s="347">
        <f>N21</f>
        <v>3.272727272727273</v>
      </c>
      <c r="X21" s="348">
        <f>F21*H21/(J21+L21)</f>
        <v>3.272727272727273</v>
      </c>
    </row>
    <row r="22" spans="1:20" ht="21.75" customHeight="1">
      <c r="A22" s="90" t="s">
        <v>620</v>
      </c>
      <c r="E22" s="335" t="s">
        <v>621</v>
      </c>
      <c r="O22" s="338" t="s">
        <v>622</v>
      </c>
      <c r="T22" s="347"/>
    </row>
    <row r="23" spans="2:24" ht="15.75" customHeight="1">
      <c r="B23" t="str">
        <f>B20</f>
        <v>方案歩留り５０％</v>
      </c>
      <c r="E23" s="88" t="s">
        <v>423</v>
      </c>
      <c r="F23">
        <f>'設定条件表'!E42</f>
        <v>1266.3017516773677</v>
      </c>
      <c r="G23" s="88" t="s">
        <v>617</v>
      </c>
      <c r="H23">
        <f>'設定条件表'!F9</f>
        <v>7.5</v>
      </c>
      <c r="I23" s="94" t="s">
        <v>603</v>
      </c>
      <c r="J23">
        <f>'操業条件'!J5</f>
        <v>2.345</v>
      </c>
      <c r="K23" s="94" t="s">
        <v>603</v>
      </c>
      <c r="L23" s="75">
        <f>'設定条件表'!F8</f>
        <v>3.272727272727273</v>
      </c>
      <c r="M23" s="88" t="s">
        <v>606</v>
      </c>
      <c r="N23" s="75">
        <f>'設定条件表'!E44</f>
        <v>22.000030432679527</v>
      </c>
      <c r="O23" t="s">
        <v>619</v>
      </c>
      <c r="S23" s="88" t="s">
        <v>423</v>
      </c>
      <c r="T23" s="347">
        <f>N23</f>
        <v>22.000030432679527</v>
      </c>
      <c r="X23" s="348">
        <f>F23/(H23*J23*L23)</f>
        <v>22.000030432679527</v>
      </c>
    </row>
    <row r="24" spans="2:24" ht="16.5" customHeight="1">
      <c r="B24" t="str">
        <f>B21</f>
        <v>方案歩留り６０％</v>
      </c>
      <c r="E24" s="88" t="s">
        <v>423</v>
      </c>
      <c r="F24">
        <f>'設定条件表'!F42</f>
        <v>1266.3014029806882</v>
      </c>
      <c r="G24" s="88" t="s">
        <v>617</v>
      </c>
      <c r="H24">
        <f>'設定条件表'!G9</f>
        <v>7.5</v>
      </c>
      <c r="I24" s="94" t="s">
        <v>603</v>
      </c>
      <c r="J24">
        <f>'操業条件'!J5</f>
        <v>2.345</v>
      </c>
      <c r="K24" s="94" t="s">
        <v>603</v>
      </c>
      <c r="L24" s="75">
        <f>'設定条件表'!G8</f>
        <v>3.272727272727273</v>
      </c>
      <c r="M24" s="88" t="s">
        <v>606</v>
      </c>
      <c r="N24" s="75">
        <f>'設定条件表'!F44</f>
        <v>22.000024374615126</v>
      </c>
      <c r="O24" t="s">
        <v>619</v>
      </c>
      <c r="S24" s="88" t="s">
        <v>423</v>
      </c>
      <c r="T24" s="347">
        <f>N24</f>
        <v>22.000024374615126</v>
      </c>
      <c r="X24" s="348">
        <f>F24/(H24*J24*L24)</f>
        <v>22.000024374615126</v>
      </c>
    </row>
    <row r="25" spans="1:20" ht="24.75" customHeight="1">
      <c r="A25" s="90" t="s">
        <v>623</v>
      </c>
      <c r="E25" s="335" t="s">
        <v>624</v>
      </c>
      <c r="O25" s="338" t="s">
        <v>622</v>
      </c>
      <c r="T25" s="9"/>
    </row>
    <row r="26" spans="2:24" ht="15.75" customHeight="1">
      <c r="B26" t="str">
        <f>B23</f>
        <v>方案歩留り５０％</v>
      </c>
      <c r="E26" s="88" t="s">
        <v>625</v>
      </c>
      <c r="F26" s="75">
        <f>N23</f>
        <v>22.000030432679527</v>
      </c>
      <c r="G26" s="88" t="s">
        <v>626</v>
      </c>
      <c r="H26">
        <f>'設定条件表'!F36</f>
        <v>22</v>
      </c>
      <c r="I26" s="94" t="s">
        <v>627</v>
      </c>
      <c r="J26">
        <f>'設定条件表'!F37</f>
        <v>8</v>
      </c>
      <c r="K26" t="s">
        <v>593</v>
      </c>
      <c r="L26">
        <f>'設定条件表'!F36</f>
        <v>22</v>
      </c>
      <c r="M26" s="88" t="s">
        <v>423</v>
      </c>
      <c r="N26" s="325">
        <f>'操業条件'!Z6</f>
        <v>1.1066428918773205E-05</v>
      </c>
      <c r="O26" t="s">
        <v>619</v>
      </c>
      <c r="S26" s="88" t="s">
        <v>423</v>
      </c>
      <c r="T26" s="346">
        <f>N26</f>
        <v>1.1066428918773205E-05</v>
      </c>
      <c r="X26" s="349">
        <f>(F26-H26)*J26/L26</f>
        <v>1.1066428918773205E-05</v>
      </c>
    </row>
    <row r="27" spans="2:24" ht="15.75" customHeight="1">
      <c r="B27" t="str">
        <f>B24</f>
        <v>方案歩留り６０％</v>
      </c>
      <c r="E27" s="88" t="s">
        <v>625</v>
      </c>
      <c r="F27" s="75">
        <f>N24</f>
        <v>22.000024374615126</v>
      </c>
      <c r="G27" s="88" t="s">
        <v>626</v>
      </c>
      <c r="H27">
        <f>'設定条件表'!G36</f>
        <v>22</v>
      </c>
      <c r="I27" s="94" t="s">
        <v>627</v>
      </c>
      <c r="J27">
        <f>'設定条件表'!G37</f>
        <v>8</v>
      </c>
      <c r="K27" t="s">
        <v>593</v>
      </c>
      <c r="L27">
        <f>'設定条件表'!G36</f>
        <v>22</v>
      </c>
      <c r="M27" s="88" t="s">
        <v>423</v>
      </c>
      <c r="N27" s="325">
        <f>'操業条件'!AA6</f>
        <v>8.863496409555244E-06</v>
      </c>
      <c r="O27" t="s">
        <v>619</v>
      </c>
      <c r="S27" s="88" t="s">
        <v>423</v>
      </c>
      <c r="T27" s="346">
        <f>N27</f>
        <v>8.863496409555244E-06</v>
      </c>
      <c r="X27" s="349">
        <f>(F27-H27)*J27/L27</f>
        <v>8.863496409555244E-06</v>
      </c>
    </row>
    <row r="28" spans="1:20" ht="24" customHeight="1">
      <c r="A28" s="24" t="s">
        <v>341</v>
      </c>
      <c r="B28" s="94" t="s">
        <v>628</v>
      </c>
      <c r="H28" s="338" t="s">
        <v>629</v>
      </c>
      <c r="T28" s="24" t="s">
        <v>630</v>
      </c>
    </row>
    <row r="29" spans="6:24" ht="15.75" customHeight="1">
      <c r="F29" s="94" t="s">
        <v>631</v>
      </c>
      <c r="N29" s="94" t="s">
        <v>632</v>
      </c>
      <c r="X29" s="339"/>
    </row>
    <row r="30" spans="2:24" ht="16.5" customHeight="1">
      <c r="B30" s="335" t="s">
        <v>633</v>
      </c>
      <c r="X30" s="339"/>
    </row>
    <row r="31" spans="2:24" ht="16.5" customHeight="1">
      <c r="B31" t="str">
        <f>B17</f>
        <v>方案歩留り５０％</v>
      </c>
      <c r="Q31" s="246" t="s">
        <v>634</v>
      </c>
      <c r="X31" s="339"/>
    </row>
    <row r="32" spans="3:24" ht="15.75" customHeight="1">
      <c r="C32" t="str">
        <f>'労働人員'!B6</f>
        <v>　溶解・</v>
      </c>
      <c r="E32" s="88" t="s">
        <v>423</v>
      </c>
      <c r="F32" s="75">
        <f>'労働人員'!H5</f>
        <v>5.042424242424242</v>
      </c>
      <c r="G32" s="94" t="s">
        <v>604</v>
      </c>
      <c r="H32">
        <f>'操業条件'!H6</f>
        <v>7.5</v>
      </c>
      <c r="I32" s="94" t="s">
        <v>603</v>
      </c>
      <c r="J32">
        <f>'操業条件'!H4</f>
        <v>22</v>
      </c>
      <c r="K32" s="94" t="s">
        <v>618</v>
      </c>
      <c r="L32" s="75">
        <f>'操業条件'!Z6</f>
        <v>1.1066428918773205E-05</v>
      </c>
      <c r="M32" s="94" t="s">
        <v>603</v>
      </c>
      <c r="N32">
        <f>J32</f>
        <v>22</v>
      </c>
      <c r="O32" s="88" t="s">
        <v>635</v>
      </c>
      <c r="P32">
        <f>'操業条件'!C5</f>
        <v>599.542</v>
      </c>
      <c r="Q32" t="s">
        <v>593</v>
      </c>
      <c r="R32">
        <f>'労働人員'!D24/100</f>
        <v>1</v>
      </c>
      <c r="S32" s="88" t="s">
        <v>423</v>
      </c>
      <c r="T32" s="346">
        <f>'ｺｽﾄ表'!F14</f>
        <v>1.3877280117754018</v>
      </c>
      <c r="X32" s="350">
        <f>F32*(H32*J32+L32*N32)/P32/R32</f>
        <v>1.3877280117754018</v>
      </c>
    </row>
    <row r="33" spans="3:24" ht="16.5" customHeight="1">
      <c r="C33" t="str">
        <f>'労働人員'!B7</f>
        <v>　　鋳造</v>
      </c>
      <c r="E33" s="88" t="s">
        <v>423</v>
      </c>
      <c r="F33" s="75">
        <f>'労働人員'!H11-F32</f>
        <v>32.77575757575758</v>
      </c>
      <c r="G33" s="94" t="s">
        <v>604</v>
      </c>
      <c r="H33">
        <f>H32</f>
        <v>7.5</v>
      </c>
      <c r="I33" s="94" t="s">
        <v>603</v>
      </c>
      <c r="J33">
        <f>J32</f>
        <v>22</v>
      </c>
      <c r="K33" s="94" t="s">
        <v>618</v>
      </c>
      <c r="L33" s="75">
        <f>L32</f>
        <v>1.1066428918773205E-05</v>
      </c>
      <c r="M33" s="94" t="s">
        <v>603</v>
      </c>
      <c r="N33">
        <f>N32</f>
        <v>22</v>
      </c>
      <c r="O33" s="88" t="s">
        <v>635</v>
      </c>
      <c r="P33">
        <f>P32</f>
        <v>599.542</v>
      </c>
      <c r="Q33" t="s">
        <v>593</v>
      </c>
      <c r="R33">
        <f>R32</f>
        <v>1</v>
      </c>
      <c r="S33" s="88" t="s">
        <v>423</v>
      </c>
      <c r="T33" s="346">
        <f>'ｺｽﾄ表'!F24</f>
        <v>9.020232076540115</v>
      </c>
      <c r="X33" s="350">
        <f>F33*(H33*J33+L33*N33)/P33/R33</f>
        <v>9.020232076540113</v>
      </c>
    </row>
    <row r="34" spans="3:19" ht="15.75" customHeight="1">
      <c r="C34" t="str">
        <f>'労働人員'!B12</f>
        <v>　仕上げ・</v>
      </c>
      <c r="E34" s="88" t="s">
        <v>423</v>
      </c>
      <c r="F34" s="75">
        <f>'労働人員'!H18</f>
        <v>27.18181818181818</v>
      </c>
      <c r="G34" s="94" t="s">
        <v>604</v>
      </c>
      <c r="H34">
        <f>H33</f>
        <v>7.5</v>
      </c>
      <c r="I34" s="94" t="s">
        <v>603</v>
      </c>
      <c r="J34">
        <f>J33</f>
        <v>22</v>
      </c>
      <c r="K34" s="94" t="s">
        <v>618</v>
      </c>
      <c r="L34" s="75">
        <f>L33</f>
        <v>1.1066428918773205E-05</v>
      </c>
      <c r="M34" s="94" t="s">
        <v>603</v>
      </c>
      <c r="N34">
        <f>N33</f>
        <v>22</v>
      </c>
      <c r="O34" s="88" t="s">
        <v>635</v>
      </c>
      <c r="P34">
        <f>P33</f>
        <v>599.542</v>
      </c>
      <c r="Q34" t="s">
        <v>593</v>
      </c>
      <c r="R34">
        <f>R33</f>
        <v>1</v>
      </c>
      <c r="S34" s="88" t="s">
        <v>603</v>
      </c>
    </row>
    <row r="35" spans="2:24" ht="15.75" customHeight="1">
      <c r="B35" t="str">
        <f>B18</f>
        <v>方案歩留り６０％</v>
      </c>
      <c r="F35" s="75"/>
      <c r="L35" s="94" t="s">
        <v>636</v>
      </c>
      <c r="R35">
        <f>'ｺｽﾄ表'!H53/100</f>
        <v>0.35</v>
      </c>
      <c r="S35" s="88" t="s">
        <v>637</v>
      </c>
      <c r="T35" s="346">
        <f>'ｺｽﾄ表'!F31</f>
        <v>2.6182524597168713</v>
      </c>
      <c r="X35" s="350">
        <f>F34*(H34*J34+L34*N34)/P34/R34*R35</f>
        <v>2.6182524597168713</v>
      </c>
    </row>
    <row r="36" spans="3:24" ht="15.75" customHeight="1">
      <c r="C36" t="str">
        <f>C32</f>
        <v>　溶解・</v>
      </c>
      <c r="E36" s="88" t="s">
        <v>423</v>
      </c>
      <c r="F36" s="75">
        <f>'労働人員'!K5</f>
        <v>5.042424242424242</v>
      </c>
      <c r="G36" s="94" t="s">
        <v>604</v>
      </c>
      <c r="H36">
        <f>H32</f>
        <v>7.5</v>
      </c>
      <c r="I36" s="94" t="s">
        <v>603</v>
      </c>
      <c r="J36">
        <f>J32</f>
        <v>22</v>
      </c>
      <c r="K36" s="94" t="s">
        <v>618</v>
      </c>
      <c r="L36" s="529">
        <f>'設定条件表'!F45</f>
        <v>8.863496409555244E-06</v>
      </c>
      <c r="M36" s="94" t="s">
        <v>603</v>
      </c>
      <c r="N36">
        <f>N32</f>
        <v>22</v>
      </c>
      <c r="O36" s="88" t="s">
        <v>635</v>
      </c>
      <c r="P36">
        <f>'設定条件表'!G5</f>
        <v>719.494</v>
      </c>
      <c r="Q36" t="s">
        <v>593</v>
      </c>
      <c r="R36">
        <f>'労働人員'!E24/100</f>
        <v>1</v>
      </c>
      <c r="S36" s="88" t="s">
        <v>423</v>
      </c>
      <c r="T36" s="346">
        <f>'ｺｽﾄ表'!G14</f>
        <v>1.1563695920427433</v>
      </c>
      <c r="X36" s="350">
        <f>F36*(H36*J36+0*N36)/P36/R36</f>
        <v>1.156368225447328</v>
      </c>
    </row>
    <row r="37" spans="3:24" ht="21.75" customHeight="1">
      <c r="C37" t="str">
        <f>C33</f>
        <v>　　鋳造</v>
      </c>
      <c r="E37" s="88" t="s">
        <v>423</v>
      </c>
      <c r="F37" s="75">
        <f>'労働人員'!K11-'労働人員'!K5</f>
        <v>32.77575757575758</v>
      </c>
      <c r="G37" s="94" t="s">
        <v>604</v>
      </c>
      <c r="H37">
        <f>H33</f>
        <v>7.5</v>
      </c>
      <c r="I37" s="94" t="s">
        <v>603</v>
      </c>
      <c r="J37">
        <f>J33</f>
        <v>22</v>
      </c>
      <c r="K37" s="94" t="s">
        <v>618</v>
      </c>
      <c r="L37" s="529">
        <f>L36</f>
        <v>8.863496409555244E-06</v>
      </c>
      <c r="M37" s="94" t="s">
        <v>603</v>
      </c>
      <c r="N37">
        <f>N33</f>
        <v>22</v>
      </c>
      <c r="O37" s="88" t="s">
        <v>635</v>
      </c>
      <c r="P37">
        <f>P36</f>
        <v>719.494</v>
      </c>
      <c r="Q37" t="s">
        <v>593</v>
      </c>
      <c r="R37">
        <f>R36</f>
        <v>1</v>
      </c>
      <c r="S37" s="88" t="s">
        <v>423</v>
      </c>
      <c r="T37" s="346">
        <f>'ｺｽﾄ表'!G24</f>
        <v>7.516402348277833</v>
      </c>
      <c r="X37" s="350">
        <f>F37*(H37*J37+0*N37)/P37/R37</f>
        <v>7.516393465407635</v>
      </c>
    </row>
    <row r="38" spans="3:19" ht="15.75" customHeight="1">
      <c r="C38" t="str">
        <f>C34</f>
        <v>　仕上げ・</v>
      </c>
      <c r="E38" s="88" t="s">
        <v>423</v>
      </c>
      <c r="F38" s="75">
        <f>'労働人員'!K18</f>
        <v>27.18181818181818</v>
      </c>
      <c r="G38" s="94" t="s">
        <v>604</v>
      </c>
      <c r="H38">
        <f>H34</f>
        <v>7.5</v>
      </c>
      <c r="I38" s="94" t="s">
        <v>603</v>
      </c>
      <c r="J38">
        <f>J34</f>
        <v>22</v>
      </c>
      <c r="K38" s="94" t="s">
        <v>618</v>
      </c>
      <c r="L38" s="529">
        <f>L36</f>
        <v>8.863496409555244E-06</v>
      </c>
      <c r="M38" s="94" t="s">
        <v>603</v>
      </c>
      <c r="N38">
        <f>N34</f>
        <v>22</v>
      </c>
      <c r="O38" s="88" t="s">
        <v>635</v>
      </c>
      <c r="P38">
        <f>P37</f>
        <v>719.494</v>
      </c>
      <c r="Q38" t="s">
        <v>593</v>
      </c>
      <c r="R38">
        <f>R37</f>
        <v>1</v>
      </c>
      <c r="S38" s="88" t="s">
        <v>603</v>
      </c>
    </row>
    <row r="39" spans="1:24" ht="15.75" customHeight="1">
      <c r="A39" s="90" t="s">
        <v>638</v>
      </c>
      <c r="B39" s="94" t="s">
        <v>639</v>
      </c>
      <c r="E39" s="335" t="s">
        <v>640</v>
      </c>
      <c r="N39" s="338" t="s">
        <v>641</v>
      </c>
      <c r="R39">
        <f>'ｺｽﾄ表'!H53/100</f>
        <v>0.35</v>
      </c>
      <c r="S39" s="88" t="s">
        <v>637</v>
      </c>
      <c r="T39" s="346">
        <f>'ｺｽﾄ表'!G31</f>
        <v>2.1817441912368944</v>
      </c>
      <c r="X39" s="350">
        <f>F38*(H38*J38+0*N38)/P38/R38*R39</f>
        <v>2.181741612855701</v>
      </c>
    </row>
    <row r="40" spans="2:24" ht="15.75" customHeight="1">
      <c r="B40" t="str">
        <f>B31</f>
        <v>方案歩留り５０％</v>
      </c>
      <c r="E40" s="88" t="s">
        <v>423</v>
      </c>
      <c r="F40">
        <f>'設定条件表'!F9</f>
        <v>7.5</v>
      </c>
      <c r="G40" s="94" t="s">
        <v>603</v>
      </c>
      <c r="H40">
        <f>'設定条件表'!F36</f>
        <v>22</v>
      </c>
      <c r="I40" s="94" t="s">
        <v>603</v>
      </c>
      <c r="J40">
        <f>'設定条件表'!F35</f>
        <v>65</v>
      </c>
      <c r="K40" s="88" t="s">
        <v>423</v>
      </c>
      <c r="L40" s="339">
        <f>'賃率、経費'!G17</f>
        <v>10725</v>
      </c>
      <c r="M40" s="94" t="str">
        <f>'賃率、経費'!I17</f>
        <v> Hr/M</v>
      </c>
      <c r="X40" s="339"/>
    </row>
    <row r="41" spans="2:24" ht="18.75" customHeight="1">
      <c r="B41" t="str">
        <f>B35</f>
        <v>方案歩留り６０％</v>
      </c>
      <c r="E41" s="88" t="s">
        <v>423</v>
      </c>
      <c r="F41">
        <f>F40</f>
        <v>7.5</v>
      </c>
      <c r="G41" s="94" t="s">
        <v>603</v>
      </c>
      <c r="H41">
        <f>H40</f>
        <v>22</v>
      </c>
      <c r="I41" s="94" t="s">
        <v>603</v>
      </c>
      <c r="J41">
        <f>'設定条件表'!G35</f>
        <v>65</v>
      </c>
      <c r="K41" s="88" t="s">
        <v>423</v>
      </c>
      <c r="L41" s="339">
        <f>'賃率、経費'!H17</f>
        <v>10725</v>
      </c>
      <c r="X41" s="339"/>
    </row>
    <row r="42" spans="1:24" ht="19.5" customHeight="1">
      <c r="A42" s="24" t="s">
        <v>642</v>
      </c>
      <c r="B42" s="94" t="s">
        <v>643</v>
      </c>
      <c r="G42" s="335" t="s">
        <v>644</v>
      </c>
      <c r="N42" s="338" t="s">
        <v>645</v>
      </c>
      <c r="X42" s="339"/>
    </row>
    <row r="43" spans="2:24" ht="15.75" customHeight="1">
      <c r="B43" s="94" t="s">
        <v>646</v>
      </c>
      <c r="X43" s="339"/>
    </row>
    <row r="44" spans="2:24" ht="25.5" customHeight="1">
      <c r="B44" s="88" t="s">
        <v>647</v>
      </c>
      <c r="K44" s="8" t="s">
        <v>608</v>
      </c>
      <c r="L44" s="8">
        <f>'賃率、経費'!M10</f>
        <v>18.8</v>
      </c>
      <c r="M44" s="8" t="s">
        <v>55</v>
      </c>
      <c r="X44" s="339"/>
    </row>
    <row r="45" spans="2:24" ht="15.75" customHeight="1">
      <c r="B45" s="88" t="s">
        <v>648</v>
      </c>
      <c r="F45" s="336">
        <f>'賃率、経費'!M12</f>
        <v>3.4</v>
      </c>
      <c r="G45" s="8" t="s">
        <v>55</v>
      </c>
      <c r="X45" s="339"/>
    </row>
    <row r="46" spans="2:24" ht="18" customHeight="1">
      <c r="B46" s="88" t="s">
        <v>649</v>
      </c>
      <c r="X46" s="339"/>
    </row>
    <row r="47" spans="4:24" ht="16.5" customHeight="1">
      <c r="D47" s="88" t="s">
        <v>650</v>
      </c>
      <c r="G47" s="8" t="s">
        <v>608</v>
      </c>
      <c r="H47" s="8">
        <f>'賃率、経費'!M21</f>
        <v>19.7</v>
      </c>
      <c r="I47" s="8" t="s">
        <v>55</v>
      </c>
      <c r="X47" s="339"/>
    </row>
    <row r="48" spans="2:24" ht="18.75" customHeight="1">
      <c r="B48" s="94" t="s">
        <v>651</v>
      </c>
      <c r="C48" s="94"/>
      <c r="D48" s="248"/>
      <c r="E48" s="94" t="s">
        <v>423</v>
      </c>
      <c r="F48" s="335" t="s">
        <v>652</v>
      </c>
      <c r="G48" s="248"/>
      <c r="X48" s="339"/>
    </row>
    <row r="49" spans="2:24" ht="16.5" customHeight="1">
      <c r="B49" s="94" t="s">
        <v>653</v>
      </c>
      <c r="C49" s="248"/>
      <c r="D49" s="248"/>
      <c r="E49" s="94" t="s">
        <v>423</v>
      </c>
      <c r="F49" s="335" t="s">
        <v>654</v>
      </c>
      <c r="G49" s="248"/>
      <c r="O49" s="94" t="s">
        <v>655</v>
      </c>
      <c r="X49" s="339"/>
    </row>
    <row r="50" spans="6:24" ht="18" customHeight="1">
      <c r="F50" s="246" t="s">
        <v>656</v>
      </c>
      <c r="X50" s="339"/>
    </row>
    <row r="51" spans="1:24" ht="15" customHeight="1">
      <c r="A51" s="88" t="s">
        <v>657</v>
      </c>
      <c r="C51" s="94" t="str">
        <f>B40</f>
        <v>方案歩留り５０％</v>
      </c>
      <c r="E51" s="88" t="s">
        <v>658</v>
      </c>
      <c r="F51">
        <f>'賃率、経費'!B4</f>
        <v>20</v>
      </c>
      <c r="G51" s="94" t="s">
        <v>604</v>
      </c>
      <c r="H51">
        <f>'賃率、経費'!M10/100</f>
        <v>0.188</v>
      </c>
      <c r="I51" s="94" t="s">
        <v>618</v>
      </c>
      <c r="J51">
        <f>'賃率、経費'!M12/100</f>
        <v>0.034</v>
      </c>
      <c r="K51" s="94" t="s">
        <v>618</v>
      </c>
      <c r="L51">
        <f>'賃率、経費'!M21/100</f>
        <v>0.19699999999999998</v>
      </c>
      <c r="M51" s="88" t="s">
        <v>635</v>
      </c>
      <c r="N51">
        <v>12</v>
      </c>
      <c r="O51" s="88" t="s">
        <v>593</v>
      </c>
      <c r="P51" s="339">
        <f>'賃率、経費'!G17</f>
        <v>10725</v>
      </c>
      <c r="Q51" s="88" t="s">
        <v>423</v>
      </c>
      <c r="R51" s="351">
        <f>'賃率、経費'!G12</f>
        <v>6511.266511266511</v>
      </c>
      <c r="X51" s="337">
        <f>F51*100000000*(H51+J51+L51)/N51/P51</f>
        <v>6511.266511266511</v>
      </c>
    </row>
    <row r="52" spans="3:24" ht="15.75" customHeight="1">
      <c r="C52" s="94" t="str">
        <f>B41</f>
        <v>方案歩留り６０％</v>
      </c>
      <c r="F52">
        <f>F51</f>
        <v>20</v>
      </c>
      <c r="G52" s="94" t="s">
        <v>604</v>
      </c>
      <c r="H52">
        <f>H51</f>
        <v>0.188</v>
      </c>
      <c r="I52" s="94" t="s">
        <v>618</v>
      </c>
      <c r="J52">
        <f>J51</f>
        <v>0.034</v>
      </c>
      <c r="K52" s="94" t="s">
        <v>618</v>
      </c>
      <c r="L52">
        <f>L51</f>
        <v>0.19699999999999998</v>
      </c>
      <c r="M52" s="88" t="s">
        <v>635</v>
      </c>
      <c r="N52">
        <f>N51</f>
        <v>12</v>
      </c>
      <c r="O52" s="88" t="s">
        <v>593</v>
      </c>
      <c r="P52" s="339">
        <f>'賃率、経費'!H17</f>
        <v>10725</v>
      </c>
      <c r="Q52" s="88" t="s">
        <v>423</v>
      </c>
      <c r="R52" s="351">
        <f>'賃率、経費'!H12</f>
        <v>6511.266511266511</v>
      </c>
      <c r="X52" s="337">
        <f>F52*100000000*(H52+J52+L52)/N52/P52</f>
        <v>6511.266511266511</v>
      </c>
    </row>
    <row r="53" spans="1:24" ht="16.5" customHeight="1">
      <c r="A53" s="88" t="s">
        <v>659</v>
      </c>
      <c r="C53" s="94" t="str">
        <f>C51</f>
        <v>方案歩留り５０％</v>
      </c>
      <c r="E53" s="88" t="s">
        <v>658</v>
      </c>
      <c r="F53">
        <f>'賃率、経費'!B4</f>
        <v>20</v>
      </c>
      <c r="G53" s="94" t="s">
        <v>603</v>
      </c>
      <c r="H53">
        <f>H51</f>
        <v>0.188</v>
      </c>
      <c r="I53" s="88" t="s">
        <v>593</v>
      </c>
      <c r="J53">
        <v>12</v>
      </c>
      <c r="K53" s="88" t="s">
        <v>593</v>
      </c>
      <c r="L53" s="339">
        <f>P51</f>
        <v>10725</v>
      </c>
      <c r="M53" s="94" t="s">
        <v>603</v>
      </c>
      <c r="N53">
        <f>'賃率、経費'!F14</f>
        <v>1.25</v>
      </c>
      <c r="O53" s="88" t="s">
        <v>660</v>
      </c>
      <c r="Q53" s="88" t="s">
        <v>423</v>
      </c>
      <c r="R53" s="351">
        <f>'賃率、経費'!G14</f>
        <v>3651.9036519036517</v>
      </c>
      <c r="X53" s="337">
        <f>(F53*100000000*H53)/J53/L53*N53</f>
        <v>3651.9036519036517</v>
      </c>
    </row>
    <row r="54" spans="3:24" ht="15.75" customHeight="1">
      <c r="C54" s="94" t="str">
        <f>C52</f>
        <v>方案歩留り６０％</v>
      </c>
      <c r="F54">
        <f>F52</f>
        <v>20</v>
      </c>
      <c r="G54" s="94" t="s">
        <v>603</v>
      </c>
      <c r="H54">
        <f>H52</f>
        <v>0.188</v>
      </c>
      <c r="I54" s="88" t="s">
        <v>593</v>
      </c>
      <c r="J54">
        <v>12</v>
      </c>
      <c r="K54" s="88" t="s">
        <v>593</v>
      </c>
      <c r="L54" s="339">
        <f>'賃率、経費'!H17</f>
        <v>10725</v>
      </c>
      <c r="M54" s="94" t="s">
        <v>603</v>
      </c>
      <c r="N54">
        <f>N53</f>
        <v>1.25</v>
      </c>
      <c r="O54" s="88" t="s">
        <v>660</v>
      </c>
      <c r="Q54" s="88" t="s">
        <v>423</v>
      </c>
      <c r="R54" s="351">
        <f>'賃率、経費'!H14</f>
        <v>3651.9036519036517</v>
      </c>
      <c r="X54" s="337">
        <f>(F54*100000000*H54)/J54/L54*N54</f>
        <v>3651.9036519036517</v>
      </c>
    </row>
    <row r="55" spans="1:24" ht="27" customHeight="1">
      <c r="A55" s="24" t="s">
        <v>661</v>
      </c>
      <c r="E55" s="335" t="s">
        <v>662</v>
      </c>
      <c r="X55" s="337"/>
    </row>
    <row r="56" spans="2:24" ht="16.5" customHeight="1">
      <c r="B56" t="str">
        <f>B8</f>
        <v>方案歩留り５０％</v>
      </c>
      <c r="E56" s="88" t="s">
        <v>625</v>
      </c>
      <c r="F56">
        <f>R51</f>
        <v>6511.266511266511</v>
      </c>
      <c r="G56" s="94" t="s">
        <v>603</v>
      </c>
      <c r="H56">
        <f>H32</f>
        <v>7.5</v>
      </c>
      <c r="I56" s="94" t="s">
        <v>618</v>
      </c>
      <c r="J56">
        <f>R53</f>
        <v>3651.9036519036517</v>
      </c>
      <c r="K56" s="94" t="s">
        <v>603</v>
      </c>
      <c r="L56" s="75">
        <f>'労働人員'!G46</f>
        <v>1.1066428918773205E-05</v>
      </c>
      <c r="M56" s="88" t="s">
        <v>663</v>
      </c>
      <c r="N56">
        <f>H56</f>
        <v>7.5</v>
      </c>
      <c r="O56" s="94" t="s">
        <v>618</v>
      </c>
      <c r="P56" s="75">
        <f>L56</f>
        <v>1.1066428918773205E-05</v>
      </c>
      <c r="Q56" s="88" t="s">
        <v>606</v>
      </c>
      <c r="R56" s="351">
        <f>'賃率、経費'!G20</f>
        <v>6511.262292214624</v>
      </c>
      <c r="X56" s="337">
        <f>(F56*H56+J56*L56)/(N56+P56)</f>
        <v>6511.262292214624</v>
      </c>
    </row>
    <row r="57" spans="2:24" ht="15.75" customHeight="1">
      <c r="B57" t="str">
        <f>B9</f>
        <v>方案歩留り６０％</v>
      </c>
      <c r="E57" s="88" t="s">
        <v>625</v>
      </c>
      <c r="F57">
        <f>R52</f>
        <v>6511.266511266511</v>
      </c>
      <c r="G57" s="94" t="s">
        <v>603</v>
      </c>
      <c r="H57">
        <f>H56</f>
        <v>7.5</v>
      </c>
      <c r="I57" s="94" t="s">
        <v>618</v>
      </c>
      <c r="J57">
        <f>R54</f>
        <v>3651.9036519036517</v>
      </c>
      <c r="K57" s="94" t="s">
        <v>603</v>
      </c>
      <c r="L57" s="75">
        <f>'労働人員'!H46</f>
        <v>8.863496409555244E-06</v>
      </c>
      <c r="M57" s="88" t="s">
        <v>663</v>
      </c>
      <c r="N57">
        <f>H57</f>
        <v>7.5</v>
      </c>
      <c r="O57" s="94" t="s">
        <v>618</v>
      </c>
      <c r="P57" s="75">
        <f>L57</f>
        <v>8.863496409555244E-06</v>
      </c>
      <c r="Q57" s="88" t="s">
        <v>606</v>
      </c>
      <c r="R57" s="351">
        <f>'賃率、経費'!H20</f>
        <v>6511.263132076846</v>
      </c>
      <c r="X57" s="337">
        <f>(F57*H57+J57*L57)/(N57+P57)</f>
        <v>6511.263132076846</v>
      </c>
    </row>
    <row r="58" spans="1:24" ht="22.5" customHeight="1">
      <c r="A58" s="89" t="s">
        <v>664</v>
      </c>
      <c r="C58" s="8" t="s">
        <v>665</v>
      </c>
      <c r="T58" s="24" t="s">
        <v>666</v>
      </c>
      <c r="U58" s="352" t="s">
        <v>667</v>
      </c>
      <c r="V58" s="353"/>
      <c r="W58" s="354"/>
      <c r="X58" s="339"/>
    </row>
    <row r="59" spans="1:24" ht="21.75" customHeight="1">
      <c r="A59" s="24" t="s">
        <v>668</v>
      </c>
      <c r="L59" s="246" t="s">
        <v>669</v>
      </c>
      <c r="U59" s="355" t="str">
        <f>A65</f>
        <v>方案歩留り５０％</v>
      </c>
      <c r="V59" s="356" t="str">
        <f>A68</f>
        <v>方案歩留り６０％</v>
      </c>
      <c r="W59" s="357"/>
      <c r="X59" s="339"/>
    </row>
    <row r="60" spans="2:24" ht="13.5" customHeight="1">
      <c r="B60" s="335" t="s">
        <v>670</v>
      </c>
      <c r="U60" s="358"/>
      <c r="V60" s="359"/>
      <c r="W60" s="357"/>
      <c r="X60" s="339"/>
    </row>
    <row r="61" spans="1:24" ht="15" customHeight="1">
      <c r="A61" s="90" t="s">
        <v>671</v>
      </c>
      <c r="B61" s="94" t="s">
        <v>672</v>
      </c>
      <c r="S61" s="248"/>
      <c r="U61" s="354"/>
      <c r="V61" s="354"/>
      <c r="W61" s="354"/>
      <c r="X61" s="339"/>
    </row>
    <row r="62" spans="2:24" ht="13.5" customHeight="1">
      <c r="B62" s="335" t="s">
        <v>673</v>
      </c>
      <c r="U62" s="360"/>
      <c r="V62" s="360"/>
      <c r="W62" s="354"/>
      <c r="X62" s="339"/>
    </row>
    <row r="63" spans="16:24" ht="15.75" customHeight="1">
      <c r="P63" s="246" t="s">
        <v>674</v>
      </c>
      <c r="U63" s="360"/>
      <c r="V63" s="360"/>
      <c r="W63" s="354"/>
      <c r="X63" s="339"/>
    </row>
    <row r="64" spans="1:24" ht="13.5" customHeight="1">
      <c r="A64" s="88" t="s">
        <v>675</v>
      </c>
      <c r="B64" s="94">
        <f>'溶解原料'!F7</f>
        <v>45000</v>
      </c>
      <c r="C64" s="94" t="s">
        <v>603</v>
      </c>
      <c r="D64" s="94">
        <f>'配合'!L13/100</f>
        <v>0.40700000000000003</v>
      </c>
      <c r="E64" s="94" t="s">
        <v>618</v>
      </c>
      <c r="F64" s="94">
        <f>'溶解原料'!F10</f>
        <v>33000</v>
      </c>
      <c r="G64" s="94" t="s">
        <v>603</v>
      </c>
      <c r="H64" s="94">
        <f>'配合'!L16/100</f>
        <v>0.07</v>
      </c>
      <c r="I64" s="94" t="s">
        <v>618</v>
      </c>
      <c r="J64" s="94">
        <f>'溶解原料'!F11</f>
        <v>0</v>
      </c>
      <c r="K64" s="94" t="s">
        <v>603</v>
      </c>
      <c r="L64" s="94">
        <f>'配合'!L17/100</f>
        <v>0.523</v>
      </c>
      <c r="M64" t="s">
        <v>676</v>
      </c>
      <c r="N64" s="361">
        <f>J8</f>
        <v>2.1121151673733745</v>
      </c>
      <c r="O64" s="88" t="s">
        <v>677</v>
      </c>
      <c r="P64" s="94">
        <f>'溶解原料'!F11</f>
        <v>0</v>
      </c>
      <c r="Q64" s="94" t="s">
        <v>603</v>
      </c>
      <c r="R64" s="361">
        <f>'溶解原料'!H31</f>
        <v>0.5232968234725764</v>
      </c>
      <c r="S64" s="94" t="s">
        <v>603</v>
      </c>
      <c r="T64" s="361">
        <f>'ｺｽﾄ表'!F7</f>
        <v>2.1121151673733745</v>
      </c>
      <c r="U64" s="362" t="s">
        <v>678</v>
      </c>
      <c r="V64" s="354"/>
      <c r="W64" s="354"/>
      <c r="X64" s="339">
        <f>(B64*D64+F64*H64+J64*L64)*N64-(P64*R64*T64)</f>
        <v>43562.375327075846</v>
      </c>
    </row>
    <row r="65" spans="1:24" ht="13.5" customHeight="1">
      <c r="A65" s="94" t="str">
        <f>'ｺｽﾄ表'!F4</f>
        <v>方案歩留り５０％</v>
      </c>
      <c r="B65" s="94" t="s">
        <v>679</v>
      </c>
      <c r="C65" s="248"/>
      <c r="D65" s="248"/>
      <c r="E65" s="248"/>
      <c r="F65" s="248"/>
      <c r="G65" s="248"/>
      <c r="H65" s="248"/>
      <c r="I65" s="248"/>
      <c r="J65" s="248"/>
      <c r="K65" s="248"/>
      <c r="L65" s="248"/>
      <c r="M65" s="248"/>
      <c r="Q65" s="248"/>
      <c r="R65" s="248"/>
      <c r="U65" s="363">
        <f>'ｺｽﾄ表'!H7</f>
        <v>42328.39477846535</v>
      </c>
      <c r="V65" s="363"/>
      <c r="W65" s="354"/>
      <c r="X65" s="337">
        <f>X64/X66</f>
        <v>42328.39477846534</v>
      </c>
    </row>
    <row r="66" spans="2:24" ht="12.75" customHeight="1">
      <c r="B66" s="248"/>
      <c r="C66" s="248"/>
      <c r="D66" s="94">
        <f>D64</f>
        <v>0.40700000000000003</v>
      </c>
      <c r="E66" s="94" t="s">
        <v>618</v>
      </c>
      <c r="F66" s="94">
        <f>H64</f>
        <v>0.07</v>
      </c>
      <c r="G66" s="94" t="s">
        <v>618</v>
      </c>
      <c r="H66" s="94">
        <f>L64</f>
        <v>0.523</v>
      </c>
      <c r="I66" s="94" t="s">
        <v>618</v>
      </c>
      <c r="J66" s="94">
        <f>'配合'!S22/100</f>
        <v>0.0034433918128654872</v>
      </c>
      <c r="K66" s="94" t="s">
        <v>618</v>
      </c>
      <c r="L66" s="94">
        <f>'配合'!T20/100</f>
        <v>0.0006477642105263158</v>
      </c>
      <c r="M66" s="94" t="s">
        <v>618</v>
      </c>
      <c r="N66" s="361">
        <f>'配合'!L19/100</f>
        <v>0.007561391694725028</v>
      </c>
      <c r="O66" s="94" t="s">
        <v>618</v>
      </c>
      <c r="P66" s="94">
        <f>'配合'!I6/100</f>
        <v>0.013500000000000002</v>
      </c>
      <c r="Q66" s="94" t="s">
        <v>618</v>
      </c>
      <c r="R66" s="94">
        <f>'配合'!I7/100</f>
        <v>0.004</v>
      </c>
      <c r="S66" s="248"/>
      <c r="T66" s="361"/>
      <c r="U66" s="363"/>
      <c r="V66" s="363"/>
      <c r="W66" s="354"/>
      <c r="X66" s="341">
        <f>D66+F66+H66+J66+L66+N66+P66+R66</f>
        <v>1.029152547718117</v>
      </c>
    </row>
    <row r="67" spans="1:24" ht="27.75" customHeight="1">
      <c r="A67" s="88" t="s">
        <v>675</v>
      </c>
      <c r="B67" s="94">
        <f>'溶解原料'!G7</f>
        <v>45000</v>
      </c>
      <c r="C67" s="94" t="s">
        <v>603</v>
      </c>
      <c r="D67" s="94">
        <f>'配合'!M13/100</f>
        <v>0.501</v>
      </c>
      <c r="E67" s="94" t="s">
        <v>618</v>
      </c>
      <c r="F67" s="94">
        <f>'溶解原料'!G10</f>
        <v>33000</v>
      </c>
      <c r="G67" s="94" t="s">
        <v>603</v>
      </c>
      <c r="H67" s="94">
        <f>'配合'!M16/100</f>
        <v>0.07</v>
      </c>
      <c r="I67" s="94" t="s">
        <v>618</v>
      </c>
      <c r="J67" s="94">
        <f>'溶解原料'!G11</f>
        <v>0</v>
      </c>
      <c r="K67" s="94" t="s">
        <v>603</v>
      </c>
      <c r="L67" s="94">
        <f>'配合'!M17/100</f>
        <v>0.429</v>
      </c>
      <c r="M67" t="s">
        <v>676</v>
      </c>
      <c r="N67" s="361">
        <f>J9</f>
        <v>1.7599888296228852</v>
      </c>
      <c r="O67" s="88" t="s">
        <v>677</v>
      </c>
      <c r="P67" s="94">
        <f>'溶解原料'!G11</f>
        <v>0</v>
      </c>
      <c r="Q67" s="94" t="s">
        <v>603</v>
      </c>
      <c r="R67" s="361">
        <f>'溶解原料'!I31</f>
        <v>0.42863110959285106</v>
      </c>
      <c r="S67" s="94" t="s">
        <v>603</v>
      </c>
      <c r="T67" s="361">
        <f>'ｺｽﾄ表'!G7</f>
        <v>1.7599888296228852</v>
      </c>
      <c r="U67" s="362" t="s">
        <v>678</v>
      </c>
      <c r="V67" s="360"/>
      <c r="W67" s="354"/>
      <c r="X67" s="339">
        <f>(B67*D67+F67*H67+J67*L67)*N67-(P67*R67*T67)</f>
        <v>43744.52236027681</v>
      </c>
    </row>
    <row r="68" spans="1:24" ht="12.75" customHeight="1">
      <c r="A68" s="94" t="str">
        <f>'ｺｽﾄ表'!G4</f>
        <v>方案歩留り６０％</v>
      </c>
      <c r="B68" s="94" t="s">
        <v>679</v>
      </c>
      <c r="V68" s="363">
        <f>'ｺｽﾄ表'!K7</f>
        <v>42413.46191085714</v>
      </c>
      <c r="W68" s="354"/>
      <c r="X68" s="337">
        <f>X67/X69</f>
        <v>42413.46191085713</v>
      </c>
    </row>
    <row r="69" spans="1:24" ht="13.5" customHeight="1">
      <c r="A69" s="248"/>
      <c r="B69" s="248"/>
      <c r="C69" s="248"/>
      <c r="D69" s="94">
        <f>D67</f>
        <v>0.501</v>
      </c>
      <c r="E69" s="94" t="s">
        <v>618</v>
      </c>
      <c r="F69" s="94">
        <f>H67</f>
        <v>0.07</v>
      </c>
      <c r="G69" s="94" t="s">
        <v>618</v>
      </c>
      <c r="H69" s="94">
        <f>L67</f>
        <v>0.429</v>
      </c>
      <c r="I69" s="94" t="s">
        <v>618</v>
      </c>
      <c r="J69" s="94">
        <f>'配合'!X22/100</f>
        <v>0.0034433918128654924</v>
      </c>
      <c r="K69" s="94" t="s">
        <v>618</v>
      </c>
      <c r="L69" s="94">
        <f>'配合'!Y20/100</f>
        <v>0.0029203873684210554</v>
      </c>
      <c r="M69" s="94" t="s">
        <v>618</v>
      </c>
      <c r="N69" s="94">
        <f>'配合'!M19/100</f>
        <v>0.00751919191919192</v>
      </c>
      <c r="O69" s="94" t="s">
        <v>618</v>
      </c>
      <c r="P69" s="94">
        <f>P66</f>
        <v>0.013500000000000002</v>
      </c>
      <c r="Q69" s="94" t="s">
        <v>618</v>
      </c>
      <c r="R69" s="94">
        <f>R66</f>
        <v>0.004</v>
      </c>
      <c r="U69" s="363"/>
      <c r="V69" s="363"/>
      <c r="W69" s="354"/>
      <c r="X69" s="341">
        <f>D69+F69+H69+J69+L69+N69+P69+R69</f>
        <v>1.0313829711004787</v>
      </c>
    </row>
    <row r="70" spans="1:24" ht="25.5" customHeight="1">
      <c r="A70" s="90" t="s">
        <v>680</v>
      </c>
      <c r="B70" s="335" t="s">
        <v>681</v>
      </c>
      <c r="U70" s="363"/>
      <c r="V70" s="363"/>
      <c r="W70" s="354"/>
      <c r="X70" s="339"/>
    </row>
    <row r="71" spans="6:24" ht="12.75" customHeight="1">
      <c r="F71" s="246" t="s">
        <v>682</v>
      </c>
      <c r="J71" s="246" t="s">
        <v>682</v>
      </c>
      <c r="N71" s="246" t="s">
        <v>682</v>
      </c>
      <c r="U71" s="363"/>
      <c r="V71" s="363"/>
      <c r="W71" s="354"/>
      <c r="X71" s="339"/>
    </row>
    <row r="72" spans="2:24" ht="12.75" customHeight="1">
      <c r="B72" s="94" t="str">
        <f>A65</f>
        <v>方案歩留り５０％</v>
      </c>
      <c r="E72" s="88" t="s">
        <v>658</v>
      </c>
      <c r="F72" s="94">
        <f>('溶解原料'!F15)</f>
        <v>100000</v>
      </c>
      <c r="G72" s="94" t="s">
        <v>603</v>
      </c>
      <c r="H72" s="94">
        <f>'溶解原料'!D15/100</f>
        <v>0.0034433918128654872</v>
      </c>
      <c r="I72" s="94" t="s">
        <v>618</v>
      </c>
      <c r="J72" s="94">
        <f>'溶解原料'!F13</f>
        <v>120000</v>
      </c>
      <c r="K72" s="94" t="s">
        <v>603</v>
      </c>
      <c r="L72" s="361">
        <f>'溶解原料'!D13/100</f>
        <v>0.0006477642105263158</v>
      </c>
      <c r="M72" s="94" t="s">
        <v>618</v>
      </c>
      <c r="N72" s="94">
        <f>'溶解原料'!F14</f>
        <v>300000</v>
      </c>
      <c r="O72" s="94" t="s">
        <v>603</v>
      </c>
      <c r="P72" s="361">
        <f>'溶解原料'!D14/100</f>
        <v>0.007561391694725028</v>
      </c>
      <c r="Q72" s="88" t="s">
        <v>683</v>
      </c>
      <c r="R72" s="361">
        <f>J8</f>
        <v>2.1121151673733745</v>
      </c>
      <c r="S72" s="88" t="s">
        <v>684</v>
      </c>
      <c r="U72" s="363">
        <f>(F72*H72+J72*L72+N72*P72)*R72</f>
        <v>5682.621346652301</v>
      </c>
      <c r="V72" s="363"/>
      <c r="W72" s="354"/>
      <c r="X72" s="337">
        <f>(F72*H72+J72*L72+N72*P72)*R72</f>
        <v>5682.621346652301</v>
      </c>
    </row>
    <row r="73" spans="2:24" ht="21" customHeight="1">
      <c r="B73" s="94" t="str">
        <f>A68</f>
        <v>方案歩留り６０％</v>
      </c>
      <c r="E73" s="88" t="s">
        <v>658</v>
      </c>
      <c r="F73" s="94">
        <f>'溶解原料'!G15</f>
        <v>100000</v>
      </c>
      <c r="G73" s="94" t="s">
        <v>603</v>
      </c>
      <c r="H73" s="94">
        <f>'溶解原料'!E15/100</f>
        <v>0.0034433918128654924</v>
      </c>
      <c r="I73" s="94" t="s">
        <v>618</v>
      </c>
      <c r="J73" s="94">
        <f>'溶解原料'!G13</f>
        <v>120000</v>
      </c>
      <c r="K73" s="94" t="s">
        <v>603</v>
      </c>
      <c r="L73" s="361">
        <f>'溶解原料'!E13/100</f>
        <v>0.0029203873684210554</v>
      </c>
      <c r="M73" s="94" t="s">
        <v>618</v>
      </c>
      <c r="N73" s="94">
        <f>'溶解原料'!G14</f>
        <v>300000</v>
      </c>
      <c r="O73" s="94" t="s">
        <v>603</v>
      </c>
      <c r="P73" s="361">
        <f>'溶解原料'!E14/100</f>
        <v>0.00751919191919192</v>
      </c>
      <c r="Q73" s="88" t="s">
        <v>683</v>
      </c>
      <c r="R73" s="361">
        <f>J9</f>
        <v>1.7599888296228852</v>
      </c>
      <c r="S73" s="88" t="s">
        <v>685</v>
      </c>
      <c r="U73" s="363"/>
      <c r="V73" s="363">
        <f>(F73*H73+J73*L73+N73*P73)*R73</f>
        <v>5192.923145927489</v>
      </c>
      <c r="W73" s="354"/>
      <c r="X73" s="337">
        <f>(F73*H73+J73*L73+N73*P73)*R73</f>
        <v>5192.923145927489</v>
      </c>
    </row>
    <row r="74" spans="1:24" ht="27.75" customHeight="1">
      <c r="A74" s="90" t="s">
        <v>686</v>
      </c>
      <c r="B74" s="335" t="s">
        <v>687</v>
      </c>
      <c r="U74" s="363"/>
      <c r="V74" s="363"/>
      <c r="W74" s="354"/>
      <c r="X74" s="339"/>
    </row>
    <row r="75" spans="6:24" ht="12.75" customHeight="1">
      <c r="F75" s="246" t="s">
        <v>688</v>
      </c>
      <c r="G75" s="364"/>
      <c r="H75" s="246" t="s">
        <v>689</v>
      </c>
      <c r="J75" s="246" t="s">
        <v>690</v>
      </c>
      <c r="L75" s="246" t="s">
        <v>689</v>
      </c>
      <c r="U75" s="363"/>
      <c r="V75" s="363"/>
      <c r="W75" s="354"/>
      <c r="X75" s="339"/>
    </row>
    <row r="76" spans="2:24" ht="13.5" customHeight="1">
      <c r="B76" s="94" t="str">
        <f>B72</f>
        <v>方案歩留り５０％</v>
      </c>
      <c r="E76" s="88" t="s">
        <v>625</v>
      </c>
      <c r="F76" s="94">
        <f>'球化、他'!F7</f>
        <v>190</v>
      </c>
      <c r="G76" s="94" t="s">
        <v>603</v>
      </c>
      <c r="H76" s="94">
        <f>'球化、他'!D7</f>
        <v>13.5</v>
      </c>
      <c r="I76" s="94" t="s">
        <v>618</v>
      </c>
      <c r="J76" s="94">
        <f>'球化、他'!F8</f>
        <v>90</v>
      </c>
      <c r="K76" s="94" t="s">
        <v>603</v>
      </c>
      <c r="L76" s="94">
        <f>'球化、他'!D8</f>
        <v>4</v>
      </c>
      <c r="M76" t="s">
        <v>627</v>
      </c>
      <c r="N76" s="361">
        <f>J8</f>
        <v>2.1121151673733745</v>
      </c>
      <c r="O76" s="88" t="s">
        <v>691</v>
      </c>
      <c r="U76" s="363">
        <f>(F76*H76+J76*L76)*N76</f>
        <v>6177.93686456712</v>
      </c>
      <c r="V76" s="363"/>
      <c r="W76" s="354"/>
      <c r="X76" s="337">
        <f>(F76*H76+J76*L76)*N76</f>
        <v>6177.93686456712</v>
      </c>
    </row>
    <row r="77" spans="2:24" ht="15.75" customHeight="1">
      <c r="B77" s="94" t="str">
        <f>B73</f>
        <v>方案歩留り６０％</v>
      </c>
      <c r="E77" s="88" t="s">
        <v>625</v>
      </c>
      <c r="F77" s="94">
        <f>'球化、他'!F7</f>
        <v>190</v>
      </c>
      <c r="G77" s="94" t="s">
        <v>603</v>
      </c>
      <c r="H77" s="94">
        <f>'球化、他'!E7</f>
        <v>13.5</v>
      </c>
      <c r="I77" s="94" t="s">
        <v>618</v>
      </c>
      <c r="J77" s="94">
        <f>'球化、他'!F8</f>
        <v>90</v>
      </c>
      <c r="K77" s="94" t="s">
        <v>603</v>
      </c>
      <c r="L77" s="94">
        <f>'球化、他'!E8</f>
        <v>4</v>
      </c>
      <c r="M77" t="s">
        <v>627</v>
      </c>
      <c r="N77" s="361">
        <f>J9</f>
        <v>1.7599888296228852</v>
      </c>
      <c r="O77" s="88" t="s">
        <v>692</v>
      </c>
      <c r="U77" s="363"/>
      <c r="V77" s="363">
        <f>(F77*H77+J77*L77)*N77</f>
        <v>5147.967326646939</v>
      </c>
      <c r="W77" s="354"/>
      <c r="X77" s="337">
        <f>(F77*H77+J77*L77)*N77</f>
        <v>5147.967326646939</v>
      </c>
    </row>
    <row r="78" spans="1:24" ht="27" customHeight="1">
      <c r="A78" s="365" t="s">
        <v>693</v>
      </c>
      <c r="B78" s="18"/>
      <c r="C78" s="18"/>
      <c r="D78" s="18"/>
      <c r="E78" s="18"/>
      <c r="F78" s="18"/>
      <c r="G78" s="18"/>
      <c r="H78" s="18"/>
      <c r="I78" s="18"/>
      <c r="J78" s="18"/>
      <c r="K78" s="18"/>
      <c r="L78" s="18"/>
      <c r="M78" s="18"/>
      <c r="N78" s="18"/>
      <c r="O78" s="18"/>
      <c r="P78" s="18"/>
      <c r="Q78" s="80"/>
      <c r="R78" s="18"/>
      <c r="S78" s="18"/>
      <c r="T78" s="18"/>
      <c r="U78" s="366">
        <f>U65+U72+U76</f>
        <v>54188.952989684774</v>
      </c>
      <c r="V78" s="366">
        <f>V68+V73+V77</f>
        <v>52754.35238343157</v>
      </c>
      <c r="W78" s="354"/>
      <c r="X78" s="339"/>
    </row>
    <row r="79" spans="1:24" ht="15.75" customHeight="1">
      <c r="A79" s="18"/>
      <c r="B79" s="18"/>
      <c r="C79" s="18"/>
      <c r="D79" s="18"/>
      <c r="E79" s="18"/>
      <c r="F79" s="18"/>
      <c r="G79" s="18"/>
      <c r="H79" s="18"/>
      <c r="I79" s="18"/>
      <c r="J79" s="18"/>
      <c r="K79" s="18"/>
      <c r="L79" s="18"/>
      <c r="M79" s="18"/>
      <c r="N79" s="18"/>
      <c r="O79" s="18"/>
      <c r="P79" s="18"/>
      <c r="Q79" s="18"/>
      <c r="R79" s="18"/>
      <c r="S79" s="18"/>
      <c r="T79" s="18"/>
      <c r="U79" s="18"/>
      <c r="V79" s="18"/>
      <c r="X79" s="339"/>
    </row>
    <row r="80" spans="1:24" ht="18.75" customHeight="1">
      <c r="A80" s="24" t="s">
        <v>694</v>
      </c>
      <c r="T80" s="24" t="s">
        <v>695</v>
      </c>
      <c r="U80" s="352" t="s">
        <v>667</v>
      </c>
      <c r="V80" s="353"/>
      <c r="W80" s="354"/>
      <c r="X80" s="339"/>
    </row>
    <row r="81" spans="1:24" ht="19.5" customHeight="1">
      <c r="A81" s="90" t="s">
        <v>696</v>
      </c>
      <c r="U81" s="355" t="str">
        <f>U59</f>
        <v>方案歩留り５０％</v>
      </c>
      <c r="V81" s="356" t="str">
        <f>V59</f>
        <v>方案歩留り６０％</v>
      </c>
      <c r="W81" s="357"/>
      <c r="X81" s="339"/>
    </row>
    <row r="82" spans="1:24" ht="19.5" customHeight="1">
      <c r="A82" s="88" t="s">
        <v>697</v>
      </c>
      <c r="E82" s="334" t="s">
        <v>698</v>
      </c>
      <c r="N82" s="94" t="s">
        <v>699</v>
      </c>
      <c r="U82" s="359"/>
      <c r="V82" s="359"/>
      <c r="W82" s="354"/>
      <c r="X82" s="339"/>
    </row>
    <row r="83" spans="2:24" ht="15.75" customHeight="1">
      <c r="B83" t="str">
        <f>B76</f>
        <v>方案歩留り５０％</v>
      </c>
      <c r="E83" s="88" t="s">
        <v>658</v>
      </c>
      <c r="F83">
        <f>'電力'!B7</f>
        <v>4200</v>
      </c>
      <c r="G83" s="94" t="s">
        <v>603</v>
      </c>
      <c r="H83">
        <f>'電力'!E7</f>
        <v>1740</v>
      </c>
      <c r="I83" s="94" t="s">
        <v>604</v>
      </c>
      <c r="J83" s="88">
        <v>1.85</v>
      </c>
      <c r="K83" s="88" t="s">
        <v>626</v>
      </c>
      <c r="L83" s="88">
        <f>'電力'!D7/100</f>
        <v>0.85</v>
      </c>
      <c r="M83" s="88" t="s">
        <v>700</v>
      </c>
      <c r="N83" s="339">
        <f>'電力'!D17/1000</f>
        <v>7308</v>
      </c>
      <c r="O83" s="246" t="s">
        <v>701</v>
      </c>
      <c r="P83" s="248"/>
      <c r="U83" s="354"/>
      <c r="V83" s="354"/>
      <c r="W83" s="354"/>
      <c r="X83" s="342">
        <f>F83*H83*(J83-L83)/1000</f>
        <v>7308</v>
      </c>
    </row>
    <row r="84" spans="2:24" ht="15.75" customHeight="1">
      <c r="B84" t="str">
        <f>B77</f>
        <v>方案歩留り６０％</v>
      </c>
      <c r="E84" s="88" t="s">
        <v>658</v>
      </c>
      <c r="F84">
        <f>'電力'!C7</f>
        <v>4200</v>
      </c>
      <c r="G84" s="94" t="s">
        <v>603</v>
      </c>
      <c r="H84">
        <f>'電力'!E7</f>
        <v>1740</v>
      </c>
      <c r="I84" s="94" t="s">
        <v>604</v>
      </c>
      <c r="J84" s="88">
        <v>1.85</v>
      </c>
      <c r="K84" s="88" t="s">
        <v>626</v>
      </c>
      <c r="L84">
        <f>'電力'!D7/100</f>
        <v>0.85</v>
      </c>
      <c r="M84" s="88" t="s">
        <v>700</v>
      </c>
      <c r="N84" s="339">
        <f>'電力'!E17/1000</f>
        <v>7308</v>
      </c>
      <c r="O84" s="246" t="s">
        <v>701</v>
      </c>
      <c r="P84" s="248"/>
      <c r="U84" s="354"/>
      <c r="V84" s="354"/>
      <c r="W84" s="354"/>
      <c r="X84" s="342">
        <f>F84*H84*(J84-L84)/1000</f>
        <v>7308</v>
      </c>
    </row>
    <row r="85" spans="1:24" ht="21.75" customHeight="1">
      <c r="A85" t="s">
        <v>702</v>
      </c>
      <c r="E85" s="88" t="s">
        <v>658</v>
      </c>
      <c r="F85" s="335" t="s">
        <v>703</v>
      </c>
      <c r="N85" s="339"/>
      <c r="O85" s="364"/>
      <c r="P85" s="248"/>
      <c r="U85" s="354"/>
      <c r="V85" s="354"/>
      <c r="W85" s="354"/>
      <c r="X85" s="339"/>
    </row>
    <row r="86" spans="2:24" ht="15.75" customHeight="1">
      <c r="B86" t="str">
        <f>B83</f>
        <v>方案歩留り５０％</v>
      </c>
      <c r="E86" s="88" t="s">
        <v>658</v>
      </c>
      <c r="F86">
        <f>N5</f>
        <v>1266.3017516773677</v>
      </c>
      <c r="G86" s="94" t="s">
        <v>603</v>
      </c>
      <c r="H86">
        <f>'電力'!D12</f>
        <v>725.8000000000001</v>
      </c>
      <c r="I86" s="94" t="s">
        <v>603</v>
      </c>
      <c r="J86">
        <f>'電力'!F7</f>
        <v>9.79</v>
      </c>
      <c r="K86" s="88" t="s">
        <v>658</v>
      </c>
      <c r="L86" t="s">
        <v>704</v>
      </c>
      <c r="N86" s="339">
        <f>'電力'!D18/1000</f>
        <v>8997.810933287175</v>
      </c>
      <c r="O86" s="246" t="s">
        <v>701</v>
      </c>
      <c r="P86" s="248"/>
      <c r="U86" s="354"/>
      <c r="V86" s="354"/>
      <c r="W86" s="354"/>
      <c r="X86" s="342">
        <f>F86*H86*J86/1000</f>
        <v>8997.810933287175</v>
      </c>
    </row>
    <row r="87" spans="2:24" ht="15.75" customHeight="1">
      <c r="B87" t="str">
        <f>B84</f>
        <v>方案歩留り６０％</v>
      </c>
      <c r="E87" s="88" t="s">
        <v>658</v>
      </c>
      <c r="F87">
        <f>N6</f>
        <v>1266.3014029806882</v>
      </c>
      <c r="G87" s="94" t="s">
        <v>603</v>
      </c>
      <c r="H87">
        <f>'電力'!E12</f>
        <v>725.8000000000001</v>
      </c>
      <c r="I87" s="94" t="s">
        <v>603</v>
      </c>
      <c r="J87">
        <f>'電力'!F7</f>
        <v>9.79</v>
      </c>
      <c r="K87" s="88" t="s">
        <v>658</v>
      </c>
      <c r="L87" t="s">
        <v>704</v>
      </c>
      <c r="N87" s="339">
        <f>'電力'!E18/1000</f>
        <v>8997.808455594326</v>
      </c>
      <c r="O87" s="246" t="s">
        <v>701</v>
      </c>
      <c r="P87" s="248"/>
      <c r="U87" s="354"/>
      <c r="V87" s="354"/>
      <c r="W87" s="354"/>
      <c r="X87" s="342">
        <f>F87*H87*J87/1000</f>
        <v>8997.808455594326</v>
      </c>
    </row>
    <row r="88" spans="1:24" ht="22.5" customHeight="1">
      <c r="A88" s="24" t="s">
        <v>705</v>
      </c>
      <c r="E88" s="88" t="s">
        <v>658</v>
      </c>
      <c r="F88" s="335" t="s">
        <v>706</v>
      </c>
      <c r="U88" s="354"/>
      <c r="V88" s="354"/>
      <c r="W88" s="354"/>
      <c r="X88" s="339"/>
    </row>
    <row r="89" spans="6:24" ht="13.5" customHeight="1">
      <c r="F89" s="246" t="s">
        <v>707</v>
      </c>
      <c r="H89" s="246" t="s">
        <v>707</v>
      </c>
      <c r="J89" s="246" t="s">
        <v>708</v>
      </c>
      <c r="U89" s="354"/>
      <c r="V89" s="354"/>
      <c r="W89" s="354"/>
      <c r="X89" s="339"/>
    </row>
    <row r="90" spans="2:24" ht="15" customHeight="1">
      <c r="B90" t="str">
        <f>B86</f>
        <v>方案歩留り５０％</v>
      </c>
      <c r="E90" s="88" t="s">
        <v>625</v>
      </c>
      <c r="F90" s="339">
        <f>N83</f>
        <v>7308</v>
      </c>
      <c r="G90" s="367" t="s">
        <v>618</v>
      </c>
      <c r="H90" s="339">
        <f>N86</f>
        <v>8997.810933287175</v>
      </c>
      <c r="I90" s="88" t="s">
        <v>635</v>
      </c>
      <c r="J90" s="368">
        <f>N5</f>
        <v>1266.3017516773677</v>
      </c>
      <c r="K90" s="94" t="s">
        <v>603</v>
      </c>
      <c r="L90">
        <f>J8</f>
        <v>2.1121151673733745</v>
      </c>
      <c r="M90" s="88" t="s">
        <v>658</v>
      </c>
      <c r="N90" s="339">
        <f>'電力'!D14</f>
        <v>27197.1120176521</v>
      </c>
      <c r="O90" s="88" t="s">
        <v>709</v>
      </c>
      <c r="U90" s="363">
        <f>'電力'!D14</f>
        <v>27197.1120176521</v>
      </c>
      <c r="V90" s="363"/>
      <c r="W90" s="354"/>
      <c r="X90" s="342">
        <f>(F90+H90)/J90</f>
        <v>12.876718295373266</v>
      </c>
    </row>
    <row r="91" spans="2:24" ht="18" customHeight="1">
      <c r="B91" t="str">
        <f>B87</f>
        <v>方案歩留り６０％</v>
      </c>
      <c r="E91" s="88" t="s">
        <v>625</v>
      </c>
      <c r="F91" s="339">
        <f>N84</f>
        <v>7308</v>
      </c>
      <c r="G91" s="367" t="s">
        <v>618</v>
      </c>
      <c r="H91" s="339">
        <f>N87</f>
        <v>8997.808455594326</v>
      </c>
      <c r="I91" s="88" t="s">
        <v>635</v>
      </c>
      <c r="J91" s="368">
        <f>N6</f>
        <v>1266.3014029806882</v>
      </c>
      <c r="K91" s="94" t="s">
        <v>603</v>
      </c>
      <c r="L91">
        <f>J9</f>
        <v>1.7599888296228852</v>
      </c>
      <c r="M91" s="88" t="s">
        <v>658</v>
      </c>
      <c r="N91" s="339">
        <f>'電力'!E14</f>
        <v>22662.883158989964</v>
      </c>
      <c r="O91" s="88" t="s">
        <v>710</v>
      </c>
      <c r="U91" s="363"/>
      <c r="V91" s="363">
        <f>'電力'!E14</f>
        <v>22662.883158989964</v>
      </c>
      <c r="W91" s="354"/>
      <c r="X91" s="342">
        <f>(F91+H91)/J91</f>
        <v>12.876719884549475</v>
      </c>
    </row>
    <row r="92" spans="1:24" ht="24.75" customHeight="1">
      <c r="A92" s="90" t="s">
        <v>711</v>
      </c>
      <c r="G92" s="88" t="s">
        <v>658</v>
      </c>
      <c r="H92" s="334" t="s">
        <v>712</v>
      </c>
      <c r="U92" s="363"/>
      <c r="V92" s="363"/>
      <c r="W92" s="354"/>
      <c r="X92" s="339"/>
    </row>
    <row r="93" spans="2:24" ht="19.5" customHeight="1">
      <c r="B93" t="str">
        <f>B90</f>
        <v>方案歩留り５０％</v>
      </c>
      <c r="E93" s="88" t="s">
        <v>658</v>
      </c>
      <c r="F93" t="str">
        <f>'球化、他'!B10</f>
        <v>溶解炉</v>
      </c>
      <c r="G93" s="88" t="s">
        <v>658</v>
      </c>
      <c r="H93">
        <f>'球化、他'!D10</f>
        <v>100000</v>
      </c>
      <c r="I93" s="88" t="s">
        <v>593</v>
      </c>
      <c r="J93">
        <f>'球化、他'!D12</f>
        <v>900</v>
      </c>
      <c r="K93" s="94" t="s">
        <v>603</v>
      </c>
      <c r="L93">
        <f>J8</f>
        <v>2.1121151673733745</v>
      </c>
      <c r="M93" s="88" t="s">
        <v>423</v>
      </c>
      <c r="N93" s="369">
        <f>H93/J93*L93</f>
        <v>234.67946304148606</v>
      </c>
      <c r="U93" s="363"/>
      <c r="V93" s="363"/>
      <c r="W93" s="354"/>
      <c r="X93" s="342">
        <f>H93/J93*L93</f>
        <v>234.67946304148606</v>
      </c>
    </row>
    <row r="94" spans="6:24" ht="15.75" customHeight="1">
      <c r="F94" t="str">
        <f>'球化、他'!B13</f>
        <v>前炉</v>
      </c>
      <c r="G94" s="88" t="s">
        <v>658</v>
      </c>
      <c r="H94">
        <f>'球化、他'!D13</f>
        <v>150000</v>
      </c>
      <c r="I94" s="88" t="s">
        <v>593</v>
      </c>
      <c r="J94">
        <f>'球化、他'!D15</f>
        <v>1200</v>
      </c>
      <c r="K94" s="94" t="s">
        <v>603</v>
      </c>
      <c r="L94">
        <f>L93</f>
        <v>2.1121151673733745</v>
      </c>
      <c r="M94" s="88" t="s">
        <v>423</v>
      </c>
      <c r="N94" s="369">
        <f>H94/J94*L94</f>
        <v>264.0143959216718</v>
      </c>
      <c r="P94" s="88" t="s">
        <v>713</v>
      </c>
      <c r="U94" s="363">
        <f>N93+N94</f>
        <v>498.6938589631578</v>
      </c>
      <c r="V94" s="363"/>
      <c r="W94" s="354"/>
      <c r="X94" s="342">
        <f>H94/J94*L94</f>
        <v>264.0143959216718</v>
      </c>
    </row>
    <row r="95" spans="2:24" ht="21.75" customHeight="1">
      <c r="B95" t="str">
        <f>B91</f>
        <v>方案歩留り６０％</v>
      </c>
      <c r="E95" s="88" t="s">
        <v>658</v>
      </c>
      <c r="F95" t="str">
        <f>F93</f>
        <v>溶解炉</v>
      </c>
      <c r="G95" s="88" t="s">
        <v>658</v>
      </c>
      <c r="H95">
        <f>'球化、他'!E10</f>
        <v>100000</v>
      </c>
      <c r="I95" s="88" t="s">
        <v>593</v>
      </c>
      <c r="J95">
        <f>'球化、他'!E12</f>
        <v>900</v>
      </c>
      <c r="K95" s="94" t="s">
        <v>603</v>
      </c>
      <c r="L95">
        <f>J9</f>
        <v>1.7599888296228852</v>
      </c>
      <c r="M95" s="88" t="s">
        <v>423</v>
      </c>
      <c r="N95" s="369">
        <f>H95/J95*L95</f>
        <v>195.55431440254281</v>
      </c>
      <c r="U95" s="363"/>
      <c r="V95" s="363"/>
      <c r="W95" s="354"/>
      <c r="X95" s="342">
        <f>H95/J95*L95</f>
        <v>195.55431440254281</v>
      </c>
    </row>
    <row r="96" spans="6:24" ht="15.75" customHeight="1">
      <c r="F96" t="str">
        <f>F94</f>
        <v>前炉</v>
      </c>
      <c r="G96" s="88" t="s">
        <v>658</v>
      </c>
      <c r="H96">
        <f>'球化、他'!E13</f>
        <v>150000</v>
      </c>
      <c r="I96" s="88" t="s">
        <v>593</v>
      </c>
      <c r="J96">
        <f>'球化、他'!E15</f>
        <v>1200</v>
      </c>
      <c r="K96" s="94" t="s">
        <v>603</v>
      </c>
      <c r="L96">
        <f>L95</f>
        <v>1.7599888296228852</v>
      </c>
      <c r="M96" s="88" t="s">
        <v>423</v>
      </c>
      <c r="N96" s="369">
        <f>H96/J96*L96</f>
        <v>219.99860370286063</v>
      </c>
      <c r="P96" s="88" t="s">
        <v>714</v>
      </c>
      <c r="U96" s="363"/>
      <c r="V96" s="363">
        <f>N95+N96</f>
        <v>415.5529181054035</v>
      </c>
      <c r="W96" s="354"/>
      <c r="X96" s="342">
        <f>H96/J96*L96</f>
        <v>219.99860370286063</v>
      </c>
    </row>
    <row r="97" spans="21:24" ht="12.75" customHeight="1">
      <c r="U97" s="363"/>
      <c r="V97" s="363"/>
      <c r="W97" s="354"/>
      <c r="X97" s="339"/>
    </row>
    <row r="98" spans="1:24" ht="16.5" customHeight="1">
      <c r="A98" s="90" t="s">
        <v>715</v>
      </c>
      <c r="E98" s="88" t="s">
        <v>658</v>
      </c>
      <c r="F98" s="334" t="s">
        <v>716</v>
      </c>
      <c r="U98" s="363"/>
      <c r="V98" s="363"/>
      <c r="W98" s="354"/>
      <c r="X98" s="339"/>
    </row>
    <row r="99" spans="2:24" ht="15.75" customHeight="1">
      <c r="B99" t="str">
        <f>B93</f>
        <v>方案歩留り５０％</v>
      </c>
      <c r="E99" s="88" t="s">
        <v>658</v>
      </c>
      <c r="F99" s="325">
        <f>'ｺｽﾄ表'!F14</f>
        <v>1.3877280117754018</v>
      </c>
      <c r="G99" s="94" t="s">
        <v>603</v>
      </c>
      <c r="H99" s="339">
        <f>'賃率、経費'!G20</f>
        <v>6511.262292214624</v>
      </c>
      <c r="I99" s="370" t="s">
        <v>423</v>
      </c>
      <c r="J99" s="339">
        <f>'ｺｽﾄ表'!H14</f>
        <v>9035.861074923145</v>
      </c>
      <c r="M99" s="88" t="s">
        <v>717</v>
      </c>
      <c r="U99" s="363">
        <f>'ｺｽﾄ表'!H14</f>
        <v>9035.861074923145</v>
      </c>
      <c r="V99" s="363"/>
      <c r="W99" s="354"/>
      <c r="X99" s="342">
        <f>F99*H99</f>
        <v>9035.861074923145</v>
      </c>
    </row>
    <row r="100" spans="2:24" ht="15.75" customHeight="1">
      <c r="B100" t="str">
        <f>B95</f>
        <v>方案歩留り６０％</v>
      </c>
      <c r="E100" s="88" t="s">
        <v>658</v>
      </c>
      <c r="F100" s="325">
        <f>'ｺｽﾄ表'!G14</f>
        <v>1.1563695920427433</v>
      </c>
      <c r="G100" s="94" t="s">
        <v>603</v>
      </c>
      <c r="H100" s="339">
        <f>'賃率、経費'!H20</f>
        <v>6511.263132076846</v>
      </c>
      <c r="I100" s="370" t="s">
        <v>423</v>
      </c>
      <c r="J100" s="339">
        <f>'ｺｽﾄ表'!K14</f>
        <v>7529.426691722657</v>
      </c>
      <c r="M100" s="88" t="s">
        <v>718</v>
      </c>
      <c r="U100" s="363"/>
      <c r="V100" s="363">
        <f>'ｺｽﾄ表'!K14</f>
        <v>7529.426691722657</v>
      </c>
      <c r="W100" s="354"/>
      <c r="X100" s="342">
        <f>F100*H100</f>
        <v>7529.426691722657</v>
      </c>
    </row>
    <row r="101" spans="1:24" ht="22.5" customHeight="1">
      <c r="A101" s="365" t="s">
        <v>719</v>
      </c>
      <c r="B101" s="18"/>
      <c r="C101" s="18"/>
      <c r="D101" s="18"/>
      <c r="E101" s="18"/>
      <c r="F101" s="18"/>
      <c r="G101" s="18"/>
      <c r="H101" s="18"/>
      <c r="I101" s="18"/>
      <c r="J101" s="18"/>
      <c r="K101" s="18"/>
      <c r="L101" s="18"/>
      <c r="M101" s="18"/>
      <c r="N101" s="18"/>
      <c r="O101" s="18"/>
      <c r="P101" s="18"/>
      <c r="Q101" s="18"/>
      <c r="R101" s="18"/>
      <c r="S101" s="18"/>
      <c r="T101" s="18"/>
      <c r="U101" s="366">
        <f>U90+U94+U99</f>
        <v>36731.6669515384</v>
      </c>
      <c r="V101" s="366">
        <f>V91+V96+V100</f>
        <v>30607.862768818024</v>
      </c>
      <c r="W101" s="354"/>
      <c r="X101" s="339"/>
    </row>
    <row r="102" spans="1:24" ht="27.75" customHeight="1">
      <c r="A102" s="365" t="s">
        <v>720</v>
      </c>
      <c r="B102" s="18"/>
      <c r="C102" s="18"/>
      <c r="D102" s="18"/>
      <c r="E102" s="18"/>
      <c r="F102" s="18"/>
      <c r="G102" s="18"/>
      <c r="H102" s="18"/>
      <c r="I102" s="18"/>
      <c r="J102" s="18"/>
      <c r="K102" s="18"/>
      <c r="L102" s="18"/>
      <c r="M102" s="18"/>
      <c r="N102" s="18"/>
      <c r="O102" s="18"/>
      <c r="P102" s="18"/>
      <c r="Q102" s="18"/>
      <c r="R102" s="18"/>
      <c r="S102" s="18"/>
      <c r="T102" s="18"/>
      <c r="U102" s="366">
        <f>U78+U101</f>
        <v>90920.61994122318</v>
      </c>
      <c r="V102" s="366">
        <f>V78+V101</f>
        <v>83362.2151522496</v>
      </c>
      <c r="W102" s="354"/>
      <c r="X102" s="339"/>
    </row>
    <row r="103" spans="1:24" ht="27.75" customHeight="1">
      <c r="A103" s="18"/>
      <c r="B103" s="18"/>
      <c r="C103" s="18"/>
      <c r="D103" s="18"/>
      <c r="E103" s="18"/>
      <c r="F103" s="18"/>
      <c r="G103" s="18"/>
      <c r="H103" s="18"/>
      <c r="I103" s="18"/>
      <c r="J103" s="18"/>
      <c r="K103" s="18"/>
      <c r="L103" s="18"/>
      <c r="M103" s="18"/>
      <c r="N103" s="18"/>
      <c r="O103" s="18"/>
      <c r="P103" s="18"/>
      <c r="Q103" s="18"/>
      <c r="R103" s="18"/>
      <c r="S103" s="18"/>
      <c r="T103" s="18"/>
      <c r="U103" s="371"/>
      <c r="V103" s="371"/>
      <c r="W103" s="354"/>
      <c r="X103" s="339"/>
    </row>
    <row r="104" spans="1:24" ht="15.75">
      <c r="A104" s="24" t="s">
        <v>721</v>
      </c>
      <c r="T104" s="24" t="s">
        <v>722</v>
      </c>
      <c r="U104" s="352" t="s">
        <v>667</v>
      </c>
      <c r="V104" s="353"/>
      <c r="W104" s="354"/>
      <c r="X104" s="339"/>
    </row>
    <row r="105" spans="1:24" ht="21" customHeight="1">
      <c r="A105" s="90" t="s">
        <v>723</v>
      </c>
      <c r="E105" s="335" t="s">
        <v>724</v>
      </c>
      <c r="U105" s="355" t="str">
        <f>U81</f>
        <v>方案歩留り５０％</v>
      </c>
      <c r="V105" s="356" t="str">
        <f>V81</f>
        <v>方案歩留り６０％</v>
      </c>
      <c r="W105" s="357"/>
      <c r="X105" s="339"/>
    </row>
    <row r="106" spans="2:24" ht="15.75" customHeight="1">
      <c r="B106" t="str">
        <f>B99</f>
        <v>方案歩留り５０％</v>
      </c>
      <c r="E106" s="88" t="s">
        <v>625</v>
      </c>
      <c r="F106">
        <f>'球化、他'!D16</f>
        <v>40</v>
      </c>
      <c r="G106" s="94" t="s">
        <v>603</v>
      </c>
      <c r="H106">
        <f>'球化、他'!D20/100</f>
        <v>0.05</v>
      </c>
      <c r="I106" s="94" t="s">
        <v>603</v>
      </c>
      <c r="J106">
        <v>1000</v>
      </c>
      <c r="K106" s="88" t="s">
        <v>725</v>
      </c>
      <c r="L106">
        <f>'球化、他'!D19</f>
        <v>5.9</v>
      </c>
      <c r="M106" s="94" t="s">
        <v>603</v>
      </c>
      <c r="N106">
        <f>'球化、他'!D17</f>
        <v>6</v>
      </c>
      <c r="O106" t="s">
        <v>676</v>
      </c>
      <c r="P106">
        <f>'球化、他'!F16</f>
        <v>20</v>
      </c>
      <c r="Q106" s="88" t="s">
        <v>617</v>
      </c>
      <c r="R106" s="75">
        <f>1-'設定条件表'!F12/100</f>
        <v>0.95</v>
      </c>
      <c r="S106" s="88" t="s">
        <v>606</v>
      </c>
      <c r="T106" s="339">
        <f>'ｺｽﾄ表'!H17</f>
        <v>1193.2854052956918</v>
      </c>
      <c r="U106" s="372">
        <f>'ｺｽﾄ表'!H17</f>
        <v>1193.2854052956918</v>
      </c>
      <c r="V106" s="372"/>
      <c r="W106" s="354"/>
      <c r="X106" s="337">
        <f>(F106*H106*J106)/(L106*N106)*P106*R106</f>
        <v>1073.4463276836157</v>
      </c>
    </row>
    <row r="107" spans="2:24" ht="15.75" customHeight="1">
      <c r="B107" t="str">
        <f>B100</f>
        <v>方案歩留り６０％</v>
      </c>
      <c r="E107" s="88" t="s">
        <v>625</v>
      </c>
      <c r="F107">
        <f>'球化、他'!E16</f>
        <v>40</v>
      </c>
      <c r="G107" s="94" t="s">
        <v>603</v>
      </c>
      <c r="H107">
        <f>'球化、他'!E20/100</f>
        <v>0.05</v>
      </c>
      <c r="I107" s="94" t="s">
        <v>603</v>
      </c>
      <c r="J107">
        <v>1000</v>
      </c>
      <c r="K107" s="88" t="s">
        <v>725</v>
      </c>
      <c r="L107">
        <f>'球化、他'!E19</f>
        <v>5.9</v>
      </c>
      <c r="M107" s="94" t="s">
        <v>603</v>
      </c>
      <c r="N107">
        <f>'球化、他'!E17</f>
        <v>6</v>
      </c>
      <c r="O107" t="s">
        <v>676</v>
      </c>
      <c r="P107">
        <f>'球化、他'!F16</f>
        <v>20</v>
      </c>
      <c r="Q107" s="88" t="s">
        <v>617</v>
      </c>
      <c r="R107" s="75">
        <f>1-'設定条件表'!G12/100</f>
        <v>0.95</v>
      </c>
      <c r="S107" s="88" t="s">
        <v>606</v>
      </c>
      <c r="T107" s="339">
        <f>'ｺｽﾄ表'!K17</f>
        <v>994.3439715383532</v>
      </c>
      <c r="V107" s="363">
        <f>'ｺｽﾄ表'!K17</f>
        <v>994.3439715383532</v>
      </c>
      <c r="W107" s="354"/>
      <c r="X107" s="337">
        <f>(F107*H107*J107)/(L107*N107)*P107*R107</f>
        <v>1073.4463276836157</v>
      </c>
    </row>
    <row r="108" spans="1:24" ht="22.5" customHeight="1">
      <c r="A108" s="90" t="s">
        <v>726</v>
      </c>
      <c r="E108" s="335" t="s">
        <v>727</v>
      </c>
      <c r="U108" s="354"/>
      <c r="V108" s="354"/>
      <c r="W108" s="354"/>
      <c r="X108" s="337"/>
    </row>
    <row r="109" spans="2:24" ht="18" customHeight="1">
      <c r="B109" t="str">
        <f>B106</f>
        <v>方案歩留り５０％</v>
      </c>
      <c r="E109" s="88" t="s">
        <v>728</v>
      </c>
      <c r="F109">
        <v>1000</v>
      </c>
      <c r="G109" s="88" t="s">
        <v>593</v>
      </c>
      <c r="H109">
        <f>L106</f>
        <v>5.9</v>
      </c>
      <c r="I109" t="s">
        <v>725</v>
      </c>
      <c r="J109">
        <f>R106</f>
        <v>0.95</v>
      </c>
      <c r="K109" s="88" t="s">
        <v>729</v>
      </c>
      <c r="L109">
        <f>'球化、他'!D22</f>
        <v>1</v>
      </c>
      <c r="M109" s="94" t="s">
        <v>603</v>
      </c>
      <c r="N109">
        <f>'球化、他'!D23</f>
        <v>153</v>
      </c>
      <c r="O109" s="88" t="s">
        <v>423</v>
      </c>
      <c r="P109" s="339">
        <f>'球化、他'!I22</f>
        <v>27297.05619982159</v>
      </c>
      <c r="Q109" s="88" t="s">
        <v>730</v>
      </c>
      <c r="U109" s="363">
        <f>'球化、他'!I22</f>
        <v>27297.05619982159</v>
      </c>
      <c r="V109" s="363"/>
      <c r="W109" s="354"/>
      <c r="X109" s="337">
        <f>F109/H109/J109*L109*N109</f>
        <v>27297.05619982159</v>
      </c>
    </row>
    <row r="110" spans="2:24" ht="18.75" customHeight="1">
      <c r="B110" t="str">
        <f>B107</f>
        <v>方案歩留り６０％</v>
      </c>
      <c r="E110" s="88" t="s">
        <v>728</v>
      </c>
      <c r="F110">
        <v>1000</v>
      </c>
      <c r="G110" s="88" t="s">
        <v>593</v>
      </c>
      <c r="H110">
        <f>'球化、他'!E19</f>
        <v>5.9</v>
      </c>
      <c r="I110" t="s">
        <v>725</v>
      </c>
      <c r="J110">
        <f>R107</f>
        <v>0.95</v>
      </c>
      <c r="K110" s="88" t="s">
        <v>729</v>
      </c>
      <c r="L110">
        <f>'球化、他'!E22</f>
        <v>1</v>
      </c>
      <c r="M110" s="94" t="s">
        <v>603</v>
      </c>
      <c r="N110">
        <f>'球化、他'!E23</f>
        <v>153</v>
      </c>
      <c r="O110" s="88" t="s">
        <v>423</v>
      </c>
      <c r="P110" s="339">
        <f>'球化、他'!J22</f>
        <v>27297.05619982159</v>
      </c>
      <c r="Q110" s="88" t="s">
        <v>731</v>
      </c>
      <c r="U110" s="363"/>
      <c r="V110" s="363">
        <f>'球化、他'!J22</f>
        <v>27297.05619982159</v>
      </c>
      <c r="W110" s="354"/>
      <c r="X110" s="337">
        <f>F110/H110/J110*L110*N110</f>
        <v>27297.05619982159</v>
      </c>
    </row>
    <row r="111" spans="1:24" ht="24" customHeight="1">
      <c r="A111" s="90" t="s">
        <v>732</v>
      </c>
      <c r="E111" s="335" t="s">
        <v>733</v>
      </c>
      <c r="P111" s="339"/>
      <c r="U111" s="354"/>
      <c r="V111" s="354"/>
      <c r="W111" s="354"/>
      <c r="X111" s="337"/>
    </row>
    <row r="112" spans="2:24" ht="18.75" customHeight="1">
      <c r="B112" t="str">
        <f>B109</f>
        <v>方案歩留り５０％</v>
      </c>
      <c r="E112" s="88" t="s">
        <v>728</v>
      </c>
      <c r="F112">
        <v>1000</v>
      </c>
      <c r="G112" s="88" t="s">
        <v>593</v>
      </c>
      <c r="H112">
        <f>H109</f>
        <v>5.9</v>
      </c>
      <c r="I112" t="s">
        <v>725</v>
      </c>
      <c r="J112">
        <f>R106</f>
        <v>0.95</v>
      </c>
      <c r="K112" s="88" t="s">
        <v>729</v>
      </c>
      <c r="L112">
        <f>'球化、他'!D24</f>
        <v>0.01</v>
      </c>
      <c r="M112" s="94" t="s">
        <v>603</v>
      </c>
      <c r="N112">
        <f>'球化、他'!D25</f>
        <v>350</v>
      </c>
      <c r="O112" s="88" t="s">
        <v>423</v>
      </c>
      <c r="P112" s="339">
        <f>'球化、他'!I24</f>
        <v>104.07374368123698</v>
      </c>
      <c r="Q112" s="88" t="s">
        <v>730</v>
      </c>
      <c r="U112" s="373">
        <f>'球化、他'!I24</f>
        <v>104.07374368123698</v>
      </c>
      <c r="V112" s="373"/>
      <c r="W112" s="354"/>
      <c r="X112" s="337">
        <f>F112/H112/J112*L112*N112</f>
        <v>624.442462087422</v>
      </c>
    </row>
    <row r="113" spans="2:24" ht="18.75" customHeight="1">
      <c r="B113" t="str">
        <f>B110</f>
        <v>方案歩留り６０％</v>
      </c>
      <c r="E113" s="88" t="s">
        <v>728</v>
      </c>
      <c r="F113">
        <v>1000</v>
      </c>
      <c r="G113" s="88" t="s">
        <v>593</v>
      </c>
      <c r="H113">
        <f>H110</f>
        <v>5.9</v>
      </c>
      <c r="I113" t="s">
        <v>725</v>
      </c>
      <c r="J113">
        <f>R107</f>
        <v>0.95</v>
      </c>
      <c r="K113" s="88" t="s">
        <v>729</v>
      </c>
      <c r="L113">
        <f>'球化、他'!E24</f>
        <v>0.01</v>
      </c>
      <c r="M113" s="94" t="s">
        <v>603</v>
      </c>
      <c r="N113">
        <f>'球化、他'!E25</f>
        <v>350</v>
      </c>
      <c r="O113" s="88" t="s">
        <v>423</v>
      </c>
      <c r="P113" s="339">
        <f>'球化、他'!J24</f>
        <v>104.07374368123698</v>
      </c>
      <c r="Q113" s="88" t="s">
        <v>731</v>
      </c>
      <c r="U113" s="373"/>
      <c r="V113" s="373">
        <f>'球化、他'!J24</f>
        <v>104.07374368123698</v>
      </c>
      <c r="W113" s="354"/>
      <c r="X113" s="337">
        <f>F113/H113/J113*L113*N113</f>
        <v>624.442462087422</v>
      </c>
    </row>
    <row r="114" spans="1:24" ht="18.75" customHeight="1">
      <c r="A114" s="282" t="s">
        <v>734</v>
      </c>
      <c r="B114" s="18"/>
      <c r="C114" s="18"/>
      <c r="D114" s="18"/>
      <c r="E114" s="18"/>
      <c r="F114" s="18"/>
      <c r="G114" s="18"/>
      <c r="H114" s="18"/>
      <c r="I114" s="18"/>
      <c r="J114" s="18"/>
      <c r="K114" s="18"/>
      <c r="L114" s="18"/>
      <c r="M114" s="18"/>
      <c r="N114" s="18"/>
      <c r="O114" s="18"/>
      <c r="P114" s="80"/>
      <c r="Q114" s="18"/>
      <c r="R114" s="18"/>
      <c r="S114" s="374" t="s">
        <v>226</v>
      </c>
      <c r="T114" s="18"/>
      <c r="U114" s="375">
        <f>SUM(U106:U112)</f>
        <v>28594.41534879852</v>
      </c>
      <c r="V114" s="375">
        <f>SUM(V107:V113)</f>
        <v>28395.47391504118</v>
      </c>
      <c r="W114" s="354"/>
      <c r="X114" s="339"/>
    </row>
    <row r="115" spans="1:24" ht="19.5" customHeight="1">
      <c r="A115" s="18"/>
      <c r="B115" s="18"/>
      <c r="C115" s="18"/>
      <c r="D115" s="18"/>
      <c r="E115" s="18"/>
      <c r="F115" s="18"/>
      <c r="G115" s="18"/>
      <c r="H115" s="18"/>
      <c r="I115" s="18"/>
      <c r="J115" s="18"/>
      <c r="K115" s="18"/>
      <c r="L115" s="18"/>
      <c r="M115" s="18"/>
      <c r="N115" s="18"/>
      <c r="O115" s="18"/>
      <c r="P115" s="80"/>
      <c r="Q115" s="80"/>
      <c r="R115" s="80"/>
      <c r="S115" s="80"/>
      <c r="T115" s="80"/>
      <c r="U115" s="80"/>
      <c r="V115" s="18"/>
      <c r="X115" s="339"/>
    </row>
    <row r="116" spans="1:24" ht="25.5" customHeight="1">
      <c r="A116" s="90" t="s">
        <v>735</v>
      </c>
      <c r="B116" t="s">
        <v>736</v>
      </c>
      <c r="I116" s="88" t="s">
        <v>658</v>
      </c>
      <c r="J116" s="334" t="s">
        <v>716</v>
      </c>
      <c r="U116" s="354"/>
      <c r="V116" s="354"/>
      <c r="W116" s="354"/>
      <c r="X116" s="339"/>
    </row>
    <row r="117" spans="2:24" ht="18.75" customHeight="1">
      <c r="B117" t="str">
        <f>B112</f>
        <v>方案歩留り５０％</v>
      </c>
      <c r="E117" s="88" t="s">
        <v>658</v>
      </c>
      <c r="F117" s="94" t="str">
        <f>'ｺｽﾄ表'!D20</f>
        <v>　注湯労務経費</v>
      </c>
      <c r="I117" s="88" t="s">
        <v>658</v>
      </c>
      <c r="J117" s="325">
        <f>'ｺｽﾄ表'!F20</f>
        <v>2.0815920176631035</v>
      </c>
      <c r="K117" s="94" t="s">
        <v>603</v>
      </c>
      <c r="L117" s="339">
        <f>'賃率、経費'!G20</f>
        <v>6511.262292214624</v>
      </c>
      <c r="M117" s="94" t="str">
        <f>I117</f>
        <v>=</v>
      </c>
      <c r="N117" s="339">
        <f>'ｺｽﾄ表'!H20</f>
        <v>13553.791612384723</v>
      </c>
      <c r="U117" s="354"/>
      <c r="V117" s="363"/>
      <c r="W117" s="354"/>
      <c r="X117" s="342">
        <f>J117*L117</f>
        <v>13553.791612384723</v>
      </c>
    </row>
    <row r="118" spans="6:24" ht="15.75" customHeight="1">
      <c r="F118" s="94" t="str">
        <f>'ｺｽﾄ表'!D21</f>
        <v>　砂処理労務経費</v>
      </c>
      <c r="I118" s="88" t="s">
        <v>658</v>
      </c>
      <c r="J118" s="325">
        <f>'ｺｽﾄ表'!F21</f>
        <v>0.6938640058877009</v>
      </c>
      <c r="K118" s="94" t="s">
        <v>603</v>
      </c>
      <c r="L118" s="339">
        <f>L117</f>
        <v>6511.262292214624</v>
      </c>
      <c r="M118" s="94" t="str">
        <f>I118</f>
        <v>=</v>
      </c>
      <c r="N118" s="339">
        <f>'ｺｽﾄ表'!H21</f>
        <v>4517.930537461572</v>
      </c>
      <c r="U118" s="354"/>
      <c r="V118" s="354"/>
      <c r="W118" s="354"/>
      <c r="X118" s="342">
        <f>J118*L118</f>
        <v>4517.930537461572</v>
      </c>
    </row>
    <row r="119" spans="6:24" ht="15.75" customHeight="1">
      <c r="F119" s="94" t="str">
        <f>'ｺｽﾄ表'!D22</f>
        <v>　造形労務経費</v>
      </c>
      <c r="I119" s="88" t="s">
        <v>658</v>
      </c>
      <c r="J119" s="325">
        <f>'ｺｽﾄ表'!F22</f>
        <v>2.0815920176631035</v>
      </c>
      <c r="K119" s="94" t="s">
        <v>603</v>
      </c>
      <c r="L119" s="339">
        <f>L118</f>
        <v>6511.262292214624</v>
      </c>
      <c r="M119" s="94" t="str">
        <f>I119</f>
        <v>=</v>
      </c>
      <c r="N119" s="339">
        <f>'ｺｽﾄ表'!H22</f>
        <v>13553.791612384723</v>
      </c>
      <c r="U119" s="354"/>
      <c r="V119" s="354"/>
      <c r="W119" s="354"/>
      <c r="X119" s="342">
        <f>J119*L119</f>
        <v>13553.791612384723</v>
      </c>
    </row>
    <row r="120" spans="6:24" ht="15.75" customHeight="1">
      <c r="F120" s="94" t="str">
        <f>'ｺｽﾄ表'!D23</f>
        <v>　セキ折労務経費</v>
      </c>
      <c r="I120" s="88" t="s">
        <v>658</v>
      </c>
      <c r="J120" s="325">
        <f>'ｺｽﾄ表'!F23</f>
        <v>4.163184035326207</v>
      </c>
      <c r="K120" s="94" t="s">
        <v>603</v>
      </c>
      <c r="L120" s="339">
        <f>L119</f>
        <v>6511.262292214624</v>
      </c>
      <c r="M120" s="94" t="str">
        <f>I120</f>
        <v>=</v>
      </c>
      <c r="N120" s="339">
        <f>'ｺｽﾄ表'!H23</f>
        <v>27107.583224769445</v>
      </c>
      <c r="U120" s="354"/>
      <c r="V120" s="354"/>
      <c r="W120" s="354"/>
      <c r="X120" s="342">
        <f>J120*L120</f>
        <v>27107.583224769445</v>
      </c>
    </row>
    <row r="121" spans="4:24" ht="16.5" customHeight="1">
      <c r="D121" s="90" t="s">
        <v>737</v>
      </c>
      <c r="J121" s="325">
        <f>'ｺｽﾄ表'!F24</f>
        <v>9.020232076540115</v>
      </c>
      <c r="N121" s="339">
        <f>'ｺｽﾄ表'!H24</f>
        <v>58733.09698700046</v>
      </c>
      <c r="O121" s="88" t="s">
        <v>709</v>
      </c>
      <c r="U121" s="363">
        <f>N121</f>
        <v>58733.09698700046</v>
      </c>
      <c r="V121" s="354"/>
      <c r="W121" s="354"/>
      <c r="X121" s="342"/>
    </row>
    <row r="122" spans="2:24" ht="21.75" customHeight="1">
      <c r="B122" t="str">
        <f>B113</f>
        <v>方案歩留り６０％</v>
      </c>
      <c r="E122" s="88" t="s">
        <v>658</v>
      </c>
      <c r="F122" s="94" t="str">
        <f>F117</f>
        <v>　注湯労務経費</v>
      </c>
      <c r="I122" s="88" t="s">
        <v>658</v>
      </c>
      <c r="J122">
        <f>'ｺｽﾄ表'!G20</f>
        <v>1.7345543880641154</v>
      </c>
      <c r="K122" s="94" t="s">
        <v>603</v>
      </c>
      <c r="L122" s="339">
        <f>'賃率、経費'!H20</f>
        <v>6511.263132076846</v>
      </c>
      <c r="M122" s="367" t="str">
        <f>I122</f>
        <v>=</v>
      </c>
      <c r="N122" s="339">
        <f>'ｺｽﾄ表'!K20</f>
        <v>11294.14003758399</v>
      </c>
      <c r="U122" s="354"/>
      <c r="V122" s="354"/>
      <c r="W122" s="354"/>
      <c r="X122" s="342">
        <f>J122*L122</f>
        <v>11294.14003758399</v>
      </c>
    </row>
    <row r="123" spans="6:24" ht="15.75" customHeight="1">
      <c r="F123" s="94" t="str">
        <f>F118</f>
        <v>　砂処理労務経費</v>
      </c>
      <c r="I123" s="88" t="s">
        <v>658</v>
      </c>
      <c r="J123">
        <f>'ｺｽﾄ表'!G21</f>
        <v>0.5781847960213716</v>
      </c>
      <c r="K123" s="94" t="s">
        <v>603</v>
      </c>
      <c r="L123" s="339">
        <f>L122</f>
        <v>6511.263132076846</v>
      </c>
      <c r="M123" s="367" t="str">
        <f>I123</f>
        <v>=</v>
      </c>
      <c r="N123" s="339">
        <f>'ｺｽﾄ表'!K21</f>
        <v>3764.7133458613284</v>
      </c>
      <c r="U123" s="363"/>
      <c r="V123" s="360"/>
      <c r="W123" s="354"/>
      <c r="X123" s="342">
        <f>J123*L123</f>
        <v>3764.7133458613284</v>
      </c>
    </row>
    <row r="124" spans="6:24" ht="15.75" customHeight="1">
      <c r="F124" s="94" t="str">
        <f>F119</f>
        <v>　造形労務経費</v>
      </c>
      <c r="I124" s="88" t="s">
        <v>658</v>
      </c>
      <c r="J124">
        <f>'ｺｽﾄ表'!G22</f>
        <v>1.7345543880641154</v>
      </c>
      <c r="K124" s="94" t="s">
        <v>603</v>
      </c>
      <c r="L124" s="339">
        <f>L123</f>
        <v>6511.263132076846</v>
      </c>
      <c r="M124" s="367" t="str">
        <f>I124</f>
        <v>=</v>
      </c>
      <c r="N124" s="339">
        <f>'ｺｽﾄ表'!K22</f>
        <v>11294.14003758399</v>
      </c>
      <c r="U124" s="354"/>
      <c r="V124" s="354"/>
      <c r="W124" s="354"/>
      <c r="X124" s="342">
        <f>J124*L124</f>
        <v>11294.14003758399</v>
      </c>
    </row>
    <row r="125" spans="6:24" ht="19.5" customHeight="1">
      <c r="F125" s="94" t="str">
        <f>F120</f>
        <v>　セキ折労務経費</v>
      </c>
      <c r="I125" s="88" t="s">
        <v>658</v>
      </c>
      <c r="J125">
        <f>'ｺｽﾄ表'!G23</f>
        <v>3.469108776128231</v>
      </c>
      <c r="K125" s="94" t="s">
        <v>603</v>
      </c>
      <c r="L125" s="339">
        <f>L124</f>
        <v>6511.263132076846</v>
      </c>
      <c r="M125" s="367" t="str">
        <f>I125</f>
        <v>=</v>
      </c>
      <c r="N125" s="339">
        <f>'ｺｽﾄ表'!K23</f>
        <v>22588.28007516798</v>
      </c>
      <c r="U125" s="354"/>
      <c r="V125" s="354"/>
      <c r="W125" s="354"/>
      <c r="X125" s="342">
        <f>J125*L125</f>
        <v>22588.28007516798</v>
      </c>
    </row>
    <row r="126" spans="4:24" ht="18" customHeight="1">
      <c r="D126" s="90" t="s">
        <v>737</v>
      </c>
      <c r="J126" s="325">
        <f>'ｺｽﾄ表'!G24</f>
        <v>7.516402348277833</v>
      </c>
      <c r="N126" s="339">
        <f>'ｺｽﾄ表'!K24</f>
        <v>48941.27349619729</v>
      </c>
      <c r="O126" s="88" t="s">
        <v>710</v>
      </c>
      <c r="U126" s="354"/>
      <c r="V126" s="363">
        <f>N126</f>
        <v>48941.27349619729</v>
      </c>
      <c r="W126" s="354"/>
      <c r="X126" s="339"/>
    </row>
    <row r="127" spans="1:24" ht="21.75" customHeight="1">
      <c r="A127" s="365" t="s">
        <v>738</v>
      </c>
      <c r="B127" s="18"/>
      <c r="C127" s="18"/>
      <c r="D127" s="18"/>
      <c r="E127" s="18"/>
      <c r="F127" s="18"/>
      <c r="G127" s="18"/>
      <c r="H127" s="18"/>
      <c r="I127" s="18"/>
      <c r="J127" s="18"/>
      <c r="K127" s="18"/>
      <c r="L127" s="18"/>
      <c r="M127" s="18"/>
      <c r="N127" s="18"/>
      <c r="O127" s="18"/>
      <c r="P127" s="80"/>
      <c r="Q127" s="18"/>
      <c r="R127" s="18"/>
      <c r="S127" s="80"/>
      <c r="T127" s="18"/>
      <c r="U127" s="375">
        <f>'ｺｽﾄ表'!H25</f>
        <v>87327.51233579898</v>
      </c>
      <c r="V127" s="375">
        <f>'ｺｽﾄ表'!K25</f>
        <v>77336.74741123847</v>
      </c>
      <c r="W127" s="354"/>
      <c r="X127" s="339"/>
    </row>
    <row r="128" spans="1:24" ht="15.75" customHeight="1">
      <c r="A128" s="18"/>
      <c r="B128" s="18"/>
      <c r="C128" s="18"/>
      <c r="D128" s="18"/>
      <c r="E128" s="80"/>
      <c r="F128" s="80"/>
      <c r="G128" s="80"/>
      <c r="H128" s="80"/>
      <c r="I128" s="80"/>
      <c r="J128" s="80"/>
      <c r="K128" s="80"/>
      <c r="L128" s="80"/>
      <c r="M128" s="80"/>
      <c r="N128" s="80"/>
      <c r="O128" s="80"/>
      <c r="P128" s="80"/>
      <c r="Q128" s="80"/>
      <c r="R128" s="80"/>
      <c r="S128" s="80"/>
      <c r="T128" s="80"/>
      <c r="U128" s="80"/>
      <c r="V128" s="80"/>
      <c r="X128" s="339"/>
    </row>
    <row r="129" spans="1:24" ht="18.75" customHeight="1">
      <c r="A129" s="24" t="s">
        <v>739</v>
      </c>
      <c r="G129" s="88" t="s">
        <v>658</v>
      </c>
      <c r="H129" s="334" t="s">
        <v>716</v>
      </c>
      <c r="T129" s="24" t="s">
        <v>740</v>
      </c>
      <c r="U129" s="352" t="s">
        <v>667</v>
      </c>
      <c r="V129" s="353"/>
      <c r="W129" s="354"/>
      <c r="X129" s="339"/>
    </row>
    <row r="130" spans="2:24" ht="15.75" customHeight="1">
      <c r="B130" t="str">
        <f>B117</f>
        <v>方案歩留り５０％</v>
      </c>
      <c r="U130" s="355" t="str">
        <f>U105</f>
        <v>方案歩留り５０％</v>
      </c>
      <c r="V130" s="356" t="str">
        <f>V105</f>
        <v>方案歩留り６０％</v>
      </c>
      <c r="W130" s="357"/>
      <c r="X130" s="339"/>
    </row>
    <row r="131" spans="3:24" ht="15.75" customHeight="1">
      <c r="C131" s="94" t="str">
        <f>'ｺｽﾄ表'!C26</f>
        <v>　ｼｮｯﾄ労務経費</v>
      </c>
      <c r="G131" s="88" t="s">
        <v>658</v>
      </c>
      <c r="H131" s="325">
        <f>'ｺｽﾄ表'!F26</f>
        <v>0.6545631149292178</v>
      </c>
      <c r="I131" s="94" t="s">
        <v>603</v>
      </c>
      <c r="J131" s="339">
        <f>L117</f>
        <v>6511.262292214624</v>
      </c>
      <c r="K131" s="88" t="s">
        <v>658</v>
      </c>
      <c r="L131" s="339">
        <f>'ｺｽﾄ表'!H26</f>
        <v>4262.032128113164</v>
      </c>
      <c r="U131" s="359"/>
      <c r="V131" s="359"/>
      <c r="W131" s="354"/>
      <c r="X131" s="342">
        <f>H131*J131</f>
        <v>4262.032128113163</v>
      </c>
    </row>
    <row r="132" spans="3:24" ht="19.5" customHeight="1">
      <c r="C132" s="94" t="str">
        <f>'ｺｽﾄ表'!C27</f>
        <v>　ﾊﾞﾘ取り労務経費</v>
      </c>
      <c r="G132" s="88" t="s">
        <v>658</v>
      </c>
      <c r="H132" s="325">
        <f>'ｺｽﾄ表'!F27</f>
        <v>0.3927378689575307</v>
      </c>
      <c r="I132" s="94" t="s">
        <v>603</v>
      </c>
      <c r="J132" s="339">
        <f>L118</f>
        <v>6511.262292214624</v>
      </c>
      <c r="K132" s="88" t="s">
        <v>658</v>
      </c>
      <c r="L132" s="339">
        <f>'ｺｽﾄ表'!H27</f>
        <v>2557.219276867898</v>
      </c>
      <c r="U132" s="354"/>
      <c r="V132" s="354"/>
      <c r="W132" s="354"/>
      <c r="X132" s="342">
        <f>H132*J132</f>
        <v>2557.219276867898</v>
      </c>
    </row>
    <row r="133" spans="3:24" ht="15.75" customHeight="1">
      <c r="C133" s="94" t="str">
        <f>'ｺｽﾄ表'!C28</f>
        <v>　機械加工労務経費</v>
      </c>
      <c r="G133" s="88" t="s">
        <v>658</v>
      </c>
      <c r="H133" s="325">
        <f>'ｺｽﾄ表'!F28</f>
        <v>0.7854757379150614</v>
      </c>
      <c r="I133" s="94" t="s">
        <v>603</v>
      </c>
      <c r="J133" s="339">
        <f>L119</f>
        <v>6511.262292214624</v>
      </c>
      <c r="K133" s="88" t="s">
        <v>658</v>
      </c>
      <c r="L133" s="339">
        <f>'ｺｽﾄ表'!H28</f>
        <v>5114.438553735796</v>
      </c>
      <c r="U133" s="354"/>
      <c r="V133" s="354"/>
      <c r="W133" s="354"/>
      <c r="X133" s="342">
        <f>H133*J133</f>
        <v>5114.438553735796</v>
      </c>
    </row>
    <row r="134" spans="3:24" ht="15.75" customHeight="1">
      <c r="C134" s="94" t="str">
        <f>'ｺｽﾄ表'!C29</f>
        <v>　出荷検査労務経費</v>
      </c>
      <c r="G134" s="88" t="s">
        <v>658</v>
      </c>
      <c r="H134" s="325">
        <f>'ｺｽﾄ表'!F29</f>
        <v>0.3927378689575307</v>
      </c>
      <c r="I134" s="94" t="s">
        <v>603</v>
      </c>
      <c r="J134" s="339">
        <f>L120</f>
        <v>6511.262292214624</v>
      </c>
      <c r="K134" s="88" t="s">
        <v>658</v>
      </c>
      <c r="L134" s="339">
        <f>'ｺｽﾄ表'!H29</f>
        <v>2557.219276867898</v>
      </c>
      <c r="U134" s="354"/>
      <c r="V134" s="354"/>
      <c r="W134" s="354"/>
      <c r="X134" s="342">
        <f>H134*J134</f>
        <v>2557.219276867898</v>
      </c>
    </row>
    <row r="135" spans="3:24" ht="15.75" customHeight="1">
      <c r="C135" s="94" t="str">
        <f>'ｺｽﾄ表'!C30</f>
        <v>　その他雑役労務経費</v>
      </c>
      <c r="G135" s="88" t="s">
        <v>658</v>
      </c>
      <c r="H135" s="325">
        <f>'ｺｽﾄ表'!F30</f>
        <v>0.3927378689575307</v>
      </c>
      <c r="I135" s="94" t="s">
        <v>603</v>
      </c>
      <c r="J135" s="339">
        <f>J131</f>
        <v>6511.262292214624</v>
      </c>
      <c r="K135" s="88" t="s">
        <v>658</v>
      </c>
      <c r="L135" s="339">
        <f>'ｺｽﾄ表'!H30</f>
        <v>2557.219276867898</v>
      </c>
      <c r="U135" s="354"/>
      <c r="V135" s="354"/>
      <c r="W135" s="354"/>
      <c r="X135" s="342">
        <f>H135*J135</f>
        <v>2557.219276867898</v>
      </c>
    </row>
    <row r="136" spans="4:24" ht="18" customHeight="1">
      <c r="D136" s="90" t="s">
        <v>741</v>
      </c>
      <c r="H136" s="325">
        <f>'ｺｽﾄ表'!F31</f>
        <v>2.6182524597168713</v>
      </c>
      <c r="L136" s="339">
        <f>'ｺｽﾄ表'!H31</f>
        <v>17048.128512452655</v>
      </c>
      <c r="M136" s="88" t="s">
        <v>717</v>
      </c>
      <c r="U136" s="363">
        <f>L136</f>
        <v>17048.128512452655</v>
      </c>
      <c r="V136" s="363"/>
      <c r="W136" s="354"/>
      <c r="X136" s="342"/>
    </row>
    <row r="137" spans="2:24" ht="21.75" customHeight="1">
      <c r="B137" t="str">
        <f>B122</f>
        <v>方案歩留り６０％</v>
      </c>
      <c r="U137" s="363"/>
      <c r="V137" s="363"/>
      <c r="W137" s="354"/>
      <c r="X137" s="342"/>
    </row>
    <row r="138" spans="3:24" ht="18" customHeight="1">
      <c r="C138" s="94" t="str">
        <f>C131</f>
        <v>　ｼｮｯﾄ労務経費</v>
      </c>
      <c r="G138" s="88" t="s">
        <v>658</v>
      </c>
      <c r="H138" s="325">
        <f>'ｺｽﾄ表'!G26</f>
        <v>0.5454360478092237</v>
      </c>
      <c r="I138" s="94" t="s">
        <v>603</v>
      </c>
      <c r="J138" s="339">
        <f>L122</f>
        <v>6511.263132076846</v>
      </c>
      <c r="K138" s="88" t="s">
        <v>658</v>
      </c>
      <c r="L138" s="339">
        <f>'ｺｽﾄ表'!K26</f>
        <v>3551.477629005902</v>
      </c>
      <c r="U138" s="363"/>
      <c r="V138" s="363"/>
      <c r="W138" s="354"/>
      <c r="X138" s="342">
        <f>H138*J138</f>
        <v>3551.477629005902</v>
      </c>
    </row>
    <row r="139" spans="3:24" ht="16.5" customHeight="1">
      <c r="C139" s="94" t="str">
        <f>C132</f>
        <v>　ﾊﾞﾘ取り労務経費</v>
      </c>
      <c r="G139" s="88" t="s">
        <v>658</v>
      </c>
      <c r="H139" s="325">
        <f>'ｺｽﾄ表'!G27</f>
        <v>0.32726162868553416</v>
      </c>
      <c r="I139" s="94" t="s">
        <v>603</v>
      </c>
      <c r="J139" s="339">
        <f>L123</f>
        <v>6511.263132076846</v>
      </c>
      <c r="K139" s="88" t="s">
        <v>658</v>
      </c>
      <c r="L139" s="339">
        <f>'ｺｽﾄ表'!K27</f>
        <v>2130.886577403541</v>
      </c>
      <c r="U139" s="363"/>
      <c r="V139" s="363"/>
      <c r="W139" s="354"/>
      <c r="X139" s="342">
        <f>H139*J139</f>
        <v>2130.8865774035407</v>
      </c>
    </row>
    <row r="140" spans="3:24" ht="15.75" customHeight="1">
      <c r="C140" s="94" t="str">
        <f>C133</f>
        <v>　機械加工労務経費</v>
      </c>
      <c r="G140" s="88" t="s">
        <v>658</v>
      </c>
      <c r="H140" s="325">
        <f>'ｺｽﾄ表'!G28</f>
        <v>0.6545232573710683</v>
      </c>
      <c r="I140" s="94" t="s">
        <v>603</v>
      </c>
      <c r="J140" s="339">
        <f>L124</f>
        <v>6511.263132076846</v>
      </c>
      <c r="K140" s="88" t="s">
        <v>658</v>
      </c>
      <c r="L140" s="339">
        <f>'ｺｽﾄ表'!K28</f>
        <v>4261.773154807082</v>
      </c>
      <c r="U140" s="363"/>
      <c r="V140" s="363"/>
      <c r="W140" s="354"/>
      <c r="X140" s="342">
        <f>H140*J140</f>
        <v>4261.7731548070815</v>
      </c>
    </row>
    <row r="141" spans="3:24" ht="18" customHeight="1">
      <c r="C141" s="94" t="str">
        <f>C134</f>
        <v>　出荷検査労務経費</v>
      </c>
      <c r="G141" s="88" t="s">
        <v>658</v>
      </c>
      <c r="H141" s="325">
        <f>'ｺｽﾄ表'!G29</f>
        <v>0.32726162868553416</v>
      </c>
      <c r="I141" s="94" t="s">
        <v>603</v>
      </c>
      <c r="J141" s="339">
        <f>L125</f>
        <v>6511.263132076846</v>
      </c>
      <c r="K141" s="88" t="s">
        <v>658</v>
      </c>
      <c r="L141" s="339">
        <f>'ｺｽﾄ表'!K29</f>
        <v>2130.886577403541</v>
      </c>
      <c r="U141" s="363"/>
      <c r="V141" s="363"/>
      <c r="W141" s="354"/>
      <c r="X141" s="342">
        <f>H141*J141</f>
        <v>2130.8865774035407</v>
      </c>
    </row>
    <row r="142" spans="3:24" ht="18.75" customHeight="1">
      <c r="C142" s="94" t="str">
        <f>C135</f>
        <v>　その他雑役労務経費</v>
      </c>
      <c r="G142" s="88" t="s">
        <v>658</v>
      </c>
      <c r="H142" s="325">
        <f>'ｺｽﾄ表'!G30</f>
        <v>0.32726162868553416</v>
      </c>
      <c r="I142" s="94" t="s">
        <v>603</v>
      </c>
      <c r="J142" s="339">
        <f>J141</f>
        <v>6511.263132076846</v>
      </c>
      <c r="K142" s="88" t="s">
        <v>658</v>
      </c>
      <c r="L142" s="339">
        <f>'ｺｽﾄ表'!K30</f>
        <v>2130.886577403541</v>
      </c>
      <c r="U142" s="363"/>
      <c r="V142" s="363"/>
      <c r="W142" s="354"/>
      <c r="X142" s="342">
        <f>H142*J142</f>
        <v>2130.8865774035407</v>
      </c>
    </row>
    <row r="143" spans="4:24" ht="19.5" customHeight="1">
      <c r="D143" s="90" t="s">
        <v>741</v>
      </c>
      <c r="H143" s="325">
        <f>'ｺｽﾄ表'!G31</f>
        <v>2.1817441912368944</v>
      </c>
      <c r="L143" s="339">
        <f>'ｺｽﾄ表'!K31</f>
        <v>14205.910516023607</v>
      </c>
      <c r="M143" s="88" t="s">
        <v>742</v>
      </c>
      <c r="U143" s="363"/>
      <c r="V143" s="363">
        <f>L143</f>
        <v>14205.910516023607</v>
      </c>
      <c r="W143" s="354"/>
      <c r="X143" s="339"/>
    </row>
    <row r="144" spans="1:24" ht="25.5" customHeight="1">
      <c r="A144" s="365" t="s">
        <v>743</v>
      </c>
      <c r="B144" s="18"/>
      <c r="C144" s="18"/>
      <c r="D144" s="18"/>
      <c r="E144" s="18"/>
      <c r="F144" s="18"/>
      <c r="G144" s="18"/>
      <c r="H144" s="18"/>
      <c r="I144" s="18"/>
      <c r="J144" s="18"/>
      <c r="K144" s="18"/>
      <c r="L144" s="18"/>
      <c r="M144" s="18"/>
      <c r="N144" s="18"/>
      <c r="O144" s="18"/>
      <c r="P144" s="80"/>
      <c r="Q144" s="18"/>
      <c r="R144" s="18"/>
      <c r="S144" s="80"/>
      <c r="T144" s="18"/>
      <c r="U144" s="366">
        <f>'ｺｽﾄ表'!H32</f>
        <v>195296.26078947482</v>
      </c>
      <c r="V144" s="366">
        <f>'ｺｽﾄ表'!K32</f>
        <v>174904.87307951166</v>
      </c>
      <c r="W144" s="354"/>
      <c r="X144" s="339"/>
    </row>
    <row r="145" spans="1:24" ht="15.75" customHeight="1">
      <c r="A145" s="18"/>
      <c r="B145" s="18"/>
      <c r="C145" s="18"/>
      <c r="D145" s="18"/>
      <c r="E145" s="18"/>
      <c r="F145" s="18"/>
      <c r="G145" s="18"/>
      <c r="H145" s="18"/>
      <c r="I145" s="18"/>
      <c r="J145" s="18"/>
      <c r="K145" s="18"/>
      <c r="L145" s="18"/>
      <c r="M145" s="18"/>
      <c r="N145" s="18"/>
      <c r="O145" s="18"/>
      <c r="P145" s="80"/>
      <c r="Q145" s="80"/>
      <c r="R145" s="80"/>
      <c r="S145" s="80"/>
      <c r="T145" s="80"/>
      <c r="U145" s="18"/>
      <c r="V145" s="18"/>
      <c r="X145" s="339"/>
    </row>
    <row r="146" spans="1:24" ht="15.75" customHeight="1">
      <c r="A146" s="24" t="s">
        <v>744</v>
      </c>
      <c r="F146" s="246" t="s">
        <v>745</v>
      </c>
      <c r="I146" s="246" t="s">
        <v>746</v>
      </c>
      <c r="T146" s="24" t="s">
        <v>747</v>
      </c>
      <c r="U146" s="352" t="s">
        <v>667</v>
      </c>
      <c r="V146" s="353"/>
      <c r="W146" s="354"/>
      <c r="X146" s="339"/>
    </row>
    <row r="147" spans="1:24" ht="13.5" customHeight="1">
      <c r="A147" s="88" t="s">
        <v>748</v>
      </c>
      <c r="B147" s="90" t="str">
        <f>'ｺｽﾄ表'!C34</f>
        <v>熱処理</v>
      </c>
      <c r="E147" s="334" t="s">
        <v>749</v>
      </c>
      <c r="U147" s="355" t="str">
        <f>U130</f>
        <v>方案歩留り５０％</v>
      </c>
      <c r="V147" s="355" t="str">
        <f>V130</f>
        <v>方案歩留り６０％</v>
      </c>
      <c r="W147" s="354"/>
      <c r="X147" s="339"/>
    </row>
    <row r="148" spans="2:24" ht="15.75" customHeight="1">
      <c r="B148" t="str">
        <f>B130</f>
        <v>方案歩留り５０％</v>
      </c>
      <c r="E148" s="88" t="s">
        <v>658</v>
      </c>
      <c r="F148">
        <f>'ｺｽﾄ表'!F33</f>
        <v>30</v>
      </c>
      <c r="G148" s="94" t="s">
        <v>603</v>
      </c>
      <c r="H148">
        <v>1000</v>
      </c>
      <c r="I148" s="376" t="s">
        <v>618</v>
      </c>
      <c r="J148">
        <f>'ｺｽﾄ表'!F34</f>
        <v>25</v>
      </c>
      <c r="K148" s="94" t="s">
        <v>603</v>
      </c>
      <c r="L148">
        <v>1000</v>
      </c>
      <c r="M148" s="88" t="s">
        <v>658</v>
      </c>
      <c r="N148" s="339">
        <f>'ｺｽﾄ表'!H35</f>
        <v>55000</v>
      </c>
      <c r="O148" s="88" t="s">
        <v>709</v>
      </c>
      <c r="U148" s="372">
        <f>N148</f>
        <v>55000</v>
      </c>
      <c r="V148" s="372"/>
      <c r="W148" s="354"/>
      <c r="X148" s="342">
        <f>F148*H148+J148*L148</f>
        <v>55000</v>
      </c>
    </row>
    <row r="149" spans="2:24" ht="18" customHeight="1">
      <c r="B149" t="str">
        <f>B137</f>
        <v>方案歩留り６０％</v>
      </c>
      <c r="E149" s="88" t="s">
        <v>658</v>
      </c>
      <c r="F149">
        <f>'ｺｽﾄ表'!G33</f>
        <v>30</v>
      </c>
      <c r="G149" s="94" t="s">
        <v>603</v>
      </c>
      <c r="H149">
        <v>1000</v>
      </c>
      <c r="I149" s="376" t="s">
        <v>618</v>
      </c>
      <c r="J149">
        <f>'ｺｽﾄ表'!G34</f>
        <v>25</v>
      </c>
      <c r="K149" s="94" t="s">
        <v>603</v>
      </c>
      <c r="L149">
        <v>1000</v>
      </c>
      <c r="M149" s="88" t="s">
        <v>658</v>
      </c>
      <c r="N149" s="339">
        <f>'ｺｽﾄ表'!K35</f>
        <v>55000</v>
      </c>
      <c r="O149" s="88" t="s">
        <v>710</v>
      </c>
      <c r="U149" s="363"/>
      <c r="V149" s="363">
        <f>N149</f>
        <v>55000</v>
      </c>
      <c r="W149" s="354"/>
      <c r="X149" s="342">
        <f>F149*H149+J149*L149</f>
        <v>55000</v>
      </c>
    </row>
    <row r="150" spans="6:24" ht="18" customHeight="1">
      <c r="F150" s="246" t="s">
        <v>745</v>
      </c>
      <c r="J150" s="246" t="s">
        <v>750</v>
      </c>
      <c r="N150" s="339"/>
      <c r="U150" s="363"/>
      <c r="V150" s="363"/>
      <c r="W150" s="354"/>
      <c r="X150" s="342"/>
    </row>
    <row r="151" spans="1:24" ht="15.75" customHeight="1">
      <c r="A151" s="88" t="s">
        <v>751</v>
      </c>
      <c r="B151" s="90" t="str">
        <f>'ｺｽﾄ表'!C37</f>
        <v>塗装</v>
      </c>
      <c r="E151" s="334" t="s">
        <v>752</v>
      </c>
      <c r="N151" s="339"/>
      <c r="U151" s="363"/>
      <c r="V151" s="363"/>
      <c r="W151" s="354"/>
      <c r="X151" s="342"/>
    </row>
    <row r="152" spans="2:24" ht="16.5" customHeight="1">
      <c r="B152" t="str">
        <f>B148</f>
        <v>方案歩留り５０％</v>
      </c>
      <c r="E152" s="88" t="s">
        <v>625</v>
      </c>
      <c r="F152">
        <f>'ｺｽﾄ表'!F36</f>
        <v>10</v>
      </c>
      <c r="G152" s="94" t="s">
        <v>603</v>
      </c>
      <c r="H152">
        <f>'方案歩留り設定'!C9</f>
        <v>5.9</v>
      </c>
      <c r="I152" s="376" t="s">
        <v>618</v>
      </c>
      <c r="J152">
        <f>'ｺｽﾄ表'!F37</f>
        <v>55</v>
      </c>
      <c r="K152" s="94" t="s">
        <v>603</v>
      </c>
      <c r="L152">
        <f>'熱処理梱包'!D10</f>
        <v>1.4</v>
      </c>
      <c r="M152" s="94" t="s">
        <v>753</v>
      </c>
      <c r="N152">
        <v>1000</v>
      </c>
      <c r="O152" s="88" t="s">
        <v>593</v>
      </c>
      <c r="P152">
        <f>H152</f>
        <v>5.9</v>
      </c>
      <c r="Q152" s="88" t="s">
        <v>658</v>
      </c>
      <c r="R152" s="339">
        <f>'ｺｽﾄ表'!H38</f>
        <v>23050.84745762712</v>
      </c>
      <c r="U152" s="363">
        <f>R152</f>
        <v>23050.84745762712</v>
      </c>
      <c r="V152" s="363"/>
      <c r="W152" s="354"/>
      <c r="X152" s="342">
        <f>(F152*H152+J152*L152)*N152/P152</f>
        <v>23050.84745762712</v>
      </c>
    </row>
    <row r="153" spans="2:24" ht="15.75" customHeight="1">
      <c r="B153" t="str">
        <f>B149</f>
        <v>方案歩留り６０％</v>
      </c>
      <c r="E153" s="88" t="s">
        <v>625</v>
      </c>
      <c r="F153">
        <f>'ｺｽﾄ表'!G36</f>
        <v>10</v>
      </c>
      <c r="G153" s="94" t="s">
        <v>603</v>
      </c>
      <c r="H153">
        <f>'方案歩留り設定'!D9</f>
        <v>5.9</v>
      </c>
      <c r="I153" s="376" t="s">
        <v>618</v>
      </c>
      <c r="J153">
        <f>'ｺｽﾄ表'!G37</f>
        <v>55</v>
      </c>
      <c r="K153" s="94" t="s">
        <v>603</v>
      </c>
      <c r="L153">
        <f>'熱処理梱包'!E10</f>
        <v>1.4</v>
      </c>
      <c r="M153" s="94" t="s">
        <v>753</v>
      </c>
      <c r="N153">
        <v>1000</v>
      </c>
      <c r="O153" s="88" t="s">
        <v>593</v>
      </c>
      <c r="P153">
        <f>H153</f>
        <v>5.9</v>
      </c>
      <c r="Q153" s="88" t="s">
        <v>658</v>
      </c>
      <c r="R153" s="339">
        <f>'ｺｽﾄ表'!K38</f>
        <v>23050.84745762712</v>
      </c>
      <c r="U153" s="363"/>
      <c r="V153" s="363">
        <f>R153</f>
        <v>23050.84745762712</v>
      </c>
      <c r="W153" s="354"/>
      <c r="X153" s="342">
        <f>(F153*H153+J153*L153)*N153/P153</f>
        <v>23050.84745762712</v>
      </c>
    </row>
    <row r="154" spans="6:24" ht="15.75" customHeight="1">
      <c r="F154" s="246" t="s">
        <v>754</v>
      </c>
      <c r="U154" s="363"/>
      <c r="V154" s="363"/>
      <c r="W154" s="354"/>
      <c r="X154" s="339"/>
    </row>
    <row r="155" spans="1:24" ht="15" customHeight="1">
      <c r="A155" s="88" t="s">
        <v>755</v>
      </c>
      <c r="B155" s="90" t="str">
        <f>'ｺｽﾄ表'!C39</f>
        <v>研磨</v>
      </c>
      <c r="E155" s="334" t="s">
        <v>756</v>
      </c>
      <c r="U155" s="363"/>
      <c r="V155" s="363"/>
      <c r="W155" s="354"/>
      <c r="X155" s="339"/>
    </row>
    <row r="156" spans="2:24" ht="16.5" customHeight="1">
      <c r="B156" t="str">
        <f>B152</f>
        <v>方案歩留り５０％</v>
      </c>
      <c r="E156" s="88" t="s">
        <v>658</v>
      </c>
      <c r="F156">
        <f>'熱処理梱包'!D16</f>
        <v>55</v>
      </c>
      <c r="G156" s="94" t="s">
        <v>603</v>
      </c>
      <c r="H156">
        <f>'熱処理梱包'!D17</f>
        <v>1.4</v>
      </c>
      <c r="I156" s="94" t="s">
        <v>603</v>
      </c>
      <c r="J156">
        <v>1000</v>
      </c>
      <c r="K156" s="88" t="s">
        <v>593</v>
      </c>
      <c r="L156">
        <f>'方案歩留り設定'!C9</f>
        <v>5.9</v>
      </c>
      <c r="M156" s="88" t="s">
        <v>658</v>
      </c>
      <c r="N156" s="339">
        <f>'ｺｽﾄ表'!H39</f>
        <v>13050.847457627118</v>
      </c>
      <c r="O156" s="88" t="s">
        <v>709</v>
      </c>
      <c r="U156" s="363">
        <f>N156</f>
        <v>13050.847457627118</v>
      </c>
      <c r="V156" s="363"/>
      <c r="W156" s="354"/>
      <c r="X156" s="342">
        <f>F156*H156*J156/L156</f>
        <v>13050.847457627118</v>
      </c>
    </row>
    <row r="157" spans="2:24" ht="16.5" customHeight="1">
      <c r="B157" t="str">
        <f>B153</f>
        <v>方案歩留り６０％</v>
      </c>
      <c r="E157" s="88" t="s">
        <v>658</v>
      </c>
      <c r="F157">
        <f>'熱処理梱包'!E16</f>
        <v>55</v>
      </c>
      <c r="G157" s="94" t="s">
        <v>603</v>
      </c>
      <c r="H157">
        <f>'熱処理梱包'!E17</f>
        <v>1.4</v>
      </c>
      <c r="I157" s="94" t="s">
        <v>603</v>
      </c>
      <c r="J157">
        <v>1000</v>
      </c>
      <c r="K157" s="88" t="s">
        <v>593</v>
      </c>
      <c r="L157">
        <f>'方案歩留り設定'!D9</f>
        <v>5.9</v>
      </c>
      <c r="M157" s="88" t="s">
        <v>658</v>
      </c>
      <c r="N157" s="339">
        <f>'ｺｽﾄ表'!K39</f>
        <v>13050.847457627118</v>
      </c>
      <c r="O157" s="88" t="s">
        <v>710</v>
      </c>
      <c r="U157" s="363"/>
      <c r="V157" s="363">
        <f>N157</f>
        <v>13050.847457627118</v>
      </c>
      <c r="W157" s="354"/>
      <c r="X157" s="342">
        <f>F157*H157*J157/L157</f>
        <v>13050.847457627118</v>
      </c>
    </row>
    <row r="158" spans="21:24" ht="12.75" customHeight="1">
      <c r="U158" s="363"/>
      <c r="V158" s="363"/>
      <c r="W158" s="354"/>
      <c r="X158" s="339"/>
    </row>
    <row r="159" spans="1:24" ht="18.75" customHeight="1">
      <c r="A159" s="88" t="s">
        <v>757</v>
      </c>
      <c r="B159" s="90" t="str">
        <f>'ｺｽﾄ表'!C40</f>
        <v>機械加工</v>
      </c>
      <c r="E159" s="334" t="s">
        <v>756</v>
      </c>
      <c r="U159" s="354"/>
      <c r="V159" s="354"/>
      <c r="W159" s="354"/>
      <c r="X159" s="339"/>
    </row>
    <row r="160" spans="2:24" ht="16.5" customHeight="1">
      <c r="B160" t="str">
        <f>B156</f>
        <v>方案歩留り５０％</v>
      </c>
      <c r="E160" s="88" t="s">
        <v>658</v>
      </c>
      <c r="F160">
        <f>'熱処理梱包'!D13</f>
        <v>55</v>
      </c>
      <c r="G160" s="94" t="s">
        <v>603</v>
      </c>
      <c r="H160">
        <f>'熱処理梱包'!D14</f>
        <v>0.6</v>
      </c>
      <c r="I160" s="94" t="s">
        <v>603</v>
      </c>
      <c r="J160">
        <v>1000</v>
      </c>
      <c r="K160" s="88" t="s">
        <v>593</v>
      </c>
      <c r="L160">
        <f>L156</f>
        <v>5.9</v>
      </c>
      <c r="M160" s="88" t="s">
        <v>658</v>
      </c>
      <c r="N160" s="339">
        <f>'ｺｽﾄ表'!H40</f>
        <v>5593.22033898305</v>
      </c>
      <c r="O160" s="88" t="s">
        <v>709</v>
      </c>
      <c r="U160" s="363">
        <f>N160</f>
        <v>5593.22033898305</v>
      </c>
      <c r="V160" s="363"/>
      <c r="W160" s="354"/>
      <c r="X160" s="342">
        <f>F160*H160*J160/L160</f>
        <v>5593.22033898305</v>
      </c>
    </row>
    <row r="161" spans="2:24" ht="18" customHeight="1">
      <c r="B161" t="str">
        <f>B157</f>
        <v>方案歩留り６０％</v>
      </c>
      <c r="E161" s="88" t="s">
        <v>658</v>
      </c>
      <c r="F161">
        <f>'熱処理梱包'!E13</f>
        <v>55</v>
      </c>
      <c r="G161" s="94" t="s">
        <v>603</v>
      </c>
      <c r="H161">
        <f>'熱処理梱包'!E14</f>
        <v>0.6</v>
      </c>
      <c r="I161" s="94" t="s">
        <v>603</v>
      </c>
      <c r="J161">
        <v>1000</v>
      </c>
      <c r="K161" s="88" t="s">
        <v>593</v>
      </c>
      <c r="L161">
        <f>L157</f>
        <v>5.9</v>
      </c>
      <c r="M161" s="88" t="s">
        <v>658</v>
      </c>
      <c r="N161" s="339">
        <f>'ｺｽﾄ表'!K40</f>
        <v>5593.22033898305</v>
      </c>
      <c r="O161" s="88" t="s">
        <v>710</v>
      </c>
      <c r="U161" s="363"/>
      <c r="V161" s="363">
        <f>N161</f>
        <v>5593.22033898305</v>
      </c>
      <c r="W161" s="354"/>
      <c r="X161" s="342">
        <f>F161*H161*J161/L161</f>
        <v>5593.22033898305</v>
      </c>
    </row>
    <row r="162" spans="1:24" ht="24.75" customHeight="1">
      <c r="A162" s="365" t="s">
        <v>758</v>
      </c>
      <c r="B162" s="18"/>
      <c r="C162" s="18"/>
      <c r="D162" s="18"/>
      <c r="E162" s="18"/>
      <c r="F162" s="18"/>
      <c r="G162" s="18"/>
      <c r="H162" s="18"/>
      <c r="I162" s="18"/>
      <c r="J162" s="18"/>
      <c r="K162" s="18"/>
      <c r="L162" s="18"/>
      <c r="M162" s="18"/>
      <c r="N162" s="18"/>
      <c r="O162" s="18"/>
      <c r="P162" s="80"/>
      <c r="Q162" s="18"/>
      <c r="R162" s="18"/>
      <c r="S162" s="80"/>
      <c r="T162" s="18"/>
      <c r="U162" s="366">
        <f>'ｺｽﾄ表'!H41</f>
        <v>96694.9152542373</v>
      </c>
      <c r="V162" s="366">
        <f>'ｺｽﾄ表'!K41</f>
        <v>96694.9152542373</v>
      </c>
      <c r="W162" s="354"/>
      <c r="X162" s="339"/>
    </row>
    <row r="163" spans="1:24" ht="14.25">
      <c r="A163" s="18"/>
      <c r="B163" s="18"/>
      <c r="C163" s="18"/>
      <c r="D163" s="18"/>
      <c r="E163" s="18"/>
      <c r="F163" s="18"/>
      <c r="G163" s="18"/>
      <c r="H163" s="18"/>
      <c r="I163" s="18"/>
      <c r="J163" s="18"/>
      <c r="K163" s="18"/>
      <c r="L163" s="18"/>
      <c r="M163" s="18"/>
      <c r="N163" s="18"/>
      <c r="O163" s="18"/>
      <c r="P163" s="80"/>
      <c r="Q163" s="80"/>
      <c r="R163" s="80"/>
      <c r="S163" s="80"/>
      <c r="T163" s="80"/>
      <c r="U163" s="80"/>
      <c r="V163" s="18"/>
      <c r="X163" s="339"/>
    </row>
    <row r="164" spans="7:24" ht="15.75" customHeight="1">
      <c r="G164" s="246" t="s">
        <v>759</v>
      </c>
      <c r="T164" s="24" t="s">
        <v>760</v>
      </c>
      <c r="U164" s="352" t="s">
        <v>667</v>
      </c>
      <c r="V164" s="353"/>
      <c r="W164" s="354"/>
      <c r="X164" s="339"/>
    </row>
    <row r="165" spans="1:24" ht="16.5" customHeight="1">
      <c r="A165" s="24" t="s">
        <v>761</v>
      </c>
      <c r="E165" s="334" t="s">
        <v>762</v>
      </c>
      <c r="U165" s="355" t="str">
        <f>U130</f>
        <v>方案歩留り５０％</v>
      </c>
      <c r="V165" s="356" t="str">
        <f>V130</f>
        <v>方案歩留り６０％</v>
      </c>
      <c r="W165" s="357"/>
      <c r="X165" s="339"/>
    </row>
    <row r="166" spans="2:24" ht="18.75" customHeight="1">
      <c r="B166" t="str">
        <f>B160</f>
        <v>方案歩留り５０％</v>
      </c>
      <c r="E166" s="88" t="s">
        <v>658</v>
      </c>
      <c r="F166">
        <f>'熱処理梱包'!D20</f>
        <v>3300</v>
      </c>
      <c r="G166" s="88" t="s">
        <v>593</v>
      </c>
      <c r="H166">
        <f>'熱処理梱包'!D21</f>
        <v>100</v>
      </c>
      <c r="I166" s="94" t="s">
        <v>603</v>
      </c>
      <c r="J166">
        <v>1000</v>
      </c>
      <c r="K166" s="88" t="s">
        <v>593</v>
      </c>
      <c r="L166">
        <f>'方案歩留り設定'!C9</f>
        <v>5.9</v>
      </c>
      <c r="M166" s="88" t="s">
        <v>658</v>
      </c>
      <c r="N166" s="339">
        <f>'ｺｽﾄ表'!H44</f>
        <v>14915.254237288134</v>
      </c>
      <c r="O166" s="88" t="s">
        <v>709</v>
      </c>
      <c r="U166" s="377">
        <f>N166</f>
        <v>14915.254237288134</v>
      </c>
      <c r="V166" s="377"/>
      <c r="W166" s="354"/>
      <c r="X166" s="342">
        <f>F166/H166*J166/L166</f>
        <v>5593.22033898305</v>
      </c>
    </row>
    <row r="167" spans="2:24" ht="15.75" customHeight="1">
      <c r="B167" t="str">
        <f>B161</f>
        <v>方案歩留り６０％</v>
      </c>
      <c r="E167" s="88" t="s">
        <v>658</v>
      </c>
      <c r="F167">
        <f>'熱処理梱包'!E20</f>
        <v>3300</v>
      </c>
      <c r="G167" s="88" t="s">
        <v>593</v>
      </c>
      <c r="H167">
        <f>'熱処理梱包'!E21</f>
        <v>100</v>
      </c>
      <c r="I167" s="94" t="s">
        <v>603</v>
      </c>
      <c r="J167">
        <v>1000</v>
      </c>
      <c r="K167" s="88" t="s">
        <v>593</v>
      </c>
      <c r="L167">
        <f>'方案歩留り設定'!D9</f>
        <v>5.9</v>
      </c>
      <c r="M167" s="88" t="s">
        <v>658</v>
      </c>
      <c r="N167" s="339">
        <f>'ｺｽﾄ表'!K44</f>
        <v>14915.254237288134</v>
      </c>
      <c r="O167" s="88" t="s">
        <v>763</v>
      </c>
      <c r="U167" s="378"/>
      <c r="V167" s="378">
        <f>N167</f>
        <v>14915.254237288134</v>
      </c>
      <c r="W167" s="354"/>
      <c r="X167" s="342">
        <f>F167/H167*J167/L167</f>
        <v>5593.22033898305</v>
      </c>
    </row>
    <row r="168" spans="6:24" ht="12.75" customHeight="1">
      <c r="F168" s="246" t="s">
        <v>745</v>
      </c>
      <c r="U168" s="354"/>
      <c r="V168" s="354"/>
      <c r="W168" s="354"/>
      <c r="X168" s="342"/>
    </row>
    <row r="169" spans="1:24" ht="15.75" customHeight="1">
      <c r="A169" s="24" t="s">
        <v>764</v>
      </c>
      <c r="E169" s="334" t="s">
        <v>765</v>
      </c>
      <c r="U169" s="354"/>
      <c r="V169" s="354"/>
      <c r="W169" s="354"/>
      <c r="X169" s="342"/>
    </row>
    <row r="170" spans="2:24" ht="16.5" customHeight="1">
      <c r="B170" t="str">
        <f>B166</f>
        <v>方案歩留り５０％</v>
      </c>
      <c r="E170" s="88" t="s">
        <v>658</v>
      </c>
      <c r="F170">
        <f>'ｺｽﾄ表'!F45</f>
        <v>10</v>
      </c>
      <c r="G170" s="94" t="s">
        <v>603</v>
      </c>
      <c r="H170">
        <v>1000</v>
      </c>
      <c r="I170" s="88" t="s">
        <v>658</v>
      </c>
      <c r="J170" s="339">
        <f>'ｺｽﾄ表'!H45</f>
        <v>10000</v>
      </c>
      <c r="K170" s="88" t="s">
        <v>766</v>
      </c>
      <c r="U170" s="363">
        <f>J170</f>
        <v>10000</v>
      </c>
      <c r="V170" s="363"/>
      <c r="W170" s="354"/>
      <c r="X170" s="342">
        <f>F170*H170</f>
        <v>10000</v>
      </c>
    </row>
    <row r="171" spans="2:24" ht="15.75" customHeight="1">
      <c r="B171" t="str">
        <f>B167</f>
        <v>方案歩留り６０％</v>
      </c>
      <c r="E171" s="88" t="s">
        <v>658</v>
      </c>
      <c r="F171">
        <f>'ｺｽﾄ表'!G45</f>
        <v>10</v>
      </c>
      <c r="G171" s="94" t="s">
        <v>603</v>
      </c>
      <c r="H171">
        <v>1000</v>
      </c>
      <c r="I171" s="88" t="s">
        <v>658</v>
      </c>
      <c r="J171" s="339">
        <f>'ｺｽﾄ表'!K45</f>
        <v>10000</v>
      </c>
      <c r="K171" s="88" t="s">
        <v>767</v>
      </c>
      <c r="U171" s="363"/>
      <c r="V171" s="363">
        <f>J171</f>
        <v>10000</v>
      </c>
      <c r="W171" s="354"/>
      <c r="X171" s="342">
        <f>F171*H171</f>
        <v>10000</v>
      </c>
    </row>
    <row r="172" spans="21:24" ht="16.5" customHeight="1">
      <c r="U172" s="354"/>
      <c r="V172" s="354"/>
      <c r="W172" s="354"/>
      <c r="X172" s="339"/>
    </row>
    <row r="173" spans="1:24" ht="24" customHeight="1">
      <c r="A173" s="365" t="s">
        <v>768</v>
      </c>
      <c r="B173" s="18"/>
      <c r="C173" s="18"/>
      <c r="D173" s="18"/>
      <c r="E173" s="18"/>
      <c r="F173" s="18"/>
      <c r="G173" s="18"/>
      <c r="H173" s="18"/>
      <c r="I173" s="18"/>
      <c r="J173" s="18"/>
      <c r="K173" s="18"/>
      <c r="L173" s="18"/>
      <c r="M173" s="18"/>
      <c r="N173" s="18"/>
      <c r="O173" s="18"/>
      <c r="P173" s="80"/>
      <c r="Q173" s="80"/>
      <c r="R173" s="80"/>
      <c r="S173" s="80"/>
      <c r="T173" s="18"/>
      <c r="U173" s="366">
        <f>'ｺｽﾄ表'!H46</f>
        <v>316906.43028100027</v>
      </c>
      <c r="V173" s="366">
        <f>'ｺｽﾄ表'!K46</f>
        <v>296515.0425710371</v>
      </c>
      <c r="W173" s="354"/>
      <c r="X173" s="339"/>
    </row>
    <row r="174" spans="1:24" ht="14.25">
      <c r="A174" s="18"/>
      <c r="B174" s="18"/>
      <c r="C174" s="18"/>
      <c r="D174" s="18"/>
      <c r="E174" s="18"/>
      <c r="F174" s="18"/>
      <c r="G174" s="18"/>
      <c r="H174" s="18"/>
      <c r="I174" s="18"/>
      <c r="J174" s="18"/>
      <c r="K174" s="18"/>
      <c r="L174" s="18"/>
      <c r="M174" s="18"/>
      <c r="N174" s="18"/>
      <c r="O174" s="18"/>
      <c r="P174" s="80"/>
      <c r="Q174" s="80"/>
      <c r="R174" s="80"/>
      <c r="S174" s="80"/>
      <c r="T174" s="80"/>
      <c r="U174" s="80"/>
      <c r="V174" s="18"/>
      <c r="X174" s="339"/>
    </row>
    <row r="175" spans="21:24" ht="14.25">
      <c r="U175" s="354"/>
      <c r="V175" s="354"/>
      <c r="W175" s="354"/>
      <c r="X175" s="339"/>
    </row>
    <row r="176" spans="1:24" ht="19.5" customHeight="1">
      <c r="A176" s="24" t="str">
        <f>'ｺｽﾄ表'!B47</f>
        <v>　一般管理，販売費</v>
      </c>
      <c r="F176" s="334" t="s">
        <v>769</v>
      </c>
      <c r="G176" s="379"/>
      <c r="H176" s="379"/>
      <c r="I176" s="380">
        <f>'ｺｽﾄ表'!H54</f>
        <v>15</v>
      </c>
      <c r="J176" s="334" t="s">
        <v>770</v>
      </c>
      <c r="U176" s="354"/>
      <c r="V176" s="354"/>
      <c r="W176" s="354"/>
      <c r="X176" s="339"/>
    </row>
    <row r="177" spans="2:24" ht="18" customHeight="1">
      <c r="B177" t="str">
        <f>B170</f>
        <v>方案歩留り５０％</v>
      </c>
      <c r="E177" s="88" t="s">
        <v>658</v>
      </c>
      <c r="F177">
        <f>U173</f>
        <v>316906.43028100027</v>
      </c>
      <c r="G177" s="94" t="s">
        <v>603</v>
      </c>
      <c r="H177">
        <f>I176/100</f>
        <v>0.15</v>
      </c>
      <c r="I177" s="88" t="s">
        <v>658</v>
      </c>
      <c r="J177" s="339">
        <f>'ｺｽﾄ表'!H47</f>
        <v>47535.96454215004</v>
      </c>
      <c r="K177" s="88" t="s">
        <v>766</v>
      </c>
      <c r="U177" s="375">
        <f>J177</f>
        <v>47535.96454215004</v>
      </c>
      <c r="V177" s="375"/>
      <c r="W177" s="354"/>
      <c r="X177" s="339">
        <f>F177*H177</f>
        <v>47535.96454215004</v>
      </c>
    </row>
    <row r="178" spans="2:24" ht="15.75" customHeight="1">
      <c r="B178" t="str">
        <f>B171</f>
        <v>方案歩留り６０％</v>
      </c>
      <c r="E178" s="88" t="s">
        <v>658</v>
      </c>
      <c r="F178">
        <f>V173</f>
        <v>296515.0425710371</v>
      </c>
      <c r="G178" s="94" t="s">
        <v>603</v>
      </c>
      <c r="H178">
        <f>I176/100</f>
        <v>0.15</v>
      </c>
      <c r="I178" s="88" t="s">
        <v>658</v>
      </c>
      <c r="J178" s="339">
        <f>'ｺｽﾄ表'!K47</f>
        <v>44477.256385655564</v>
      </c>
      <c r="K178" s="88" t="s">
        <v>767</v>
      </c>
      <c r="U178" s="375"/>
      <c r="V178" s="375">
        <f>J178</f>
        <v>44477.256385655564</v>
      </c>
      <c r="W178" s="354"/>
      <c r="X178" s="339">
        <f>F178*H178</f>
        <v>44477.25638565556</v>
      </c>
    </row>
    <row r="179" spans="1:24" ht="24" customHeight="1">
      <c r="A179" s="24" t="str">
        <f>'ｺｽﾄ表'!B48</f>
        <v>　金型償却費</v>
      </c>
      <c r="E179" s="334" t="s">
        <v>771</v>
      </c>
      <c r="U179" s="371"/>
      <c r="V179" s="371"/>
      <c r="W179" s="354"/>
      <c r="X179" s="339"/>
    </row>
    <row r="180" spans="2:24" ht="15.75" customHeight="1">
      <c r="B180" t="str">
        <f>B177</f>
        <v>方案歩留り５０％</v>
      </c>
      <c r="E180" s="88" t="s">
        <v>658</v>
      </c>
      <c r="F180">
        <f>'ｺｽﾄ表'!I48</f>
        <v>50</v>
      </c>
      <c r="G180" s="88"/>
      <c r="I180" s="94" t="s">
        <v>603</v>
      </c>
      <c r="J180">
        <v>1000</v>
      </c>
      <c r="K180" s="88" t="s">
        <v>593</v>
      </c>
      <c r="L180">
        <f>'方案歩留り設定'!C9</f>
        <v>5.9</v>
      </c>
      <c r="M180" s="88" t="s">
        <v>658</v>
      </c>
      <c r="N180">
        <v>0</v>
      </c>
      <c r="O180" s="88" t="s">
        <v>772</v>
      </c>
      <c r="U180" s="381">
        <f>N180</f>
        <v>0</v>
      </c>
      <c r="V180" s="371"/>
      <c r="W180" s="354"/>
      <c r="X180" s="339">
        <f>F180*J180/L180</f>
        <v>8474.57627118644</v>
      </c>
    </row>
    <row r="181" spans="2:24" ht="15.75" customHeight="1">
      <c r="B181" t="str">
        <f>B178</f>
        <v>方案歩留り６０％</v>
      </c>
      <c r="E181" s="88" t="s">
        <v>658</v>
      </c>
      <c r="F181">
        <f>'ｺｽﾄ表'!L48</f>
        <v>50</v>
      </c>
      <c r="G181" s="88"/>
      <c r="I181" s="94" t="s">
        <v>603</v>
      </c>
      <c r="J181">
        <v>1000</v>
      </c>
      <c r="K181" s="88" t="s">
        <v>593</v>
      </c>
      <c r="L181">
        <f>'方案歩留り設定'!D9</f>
        <v>5.9</v>
      </c>
      <c r="M181" s="88" t="s">
        <v>658</v>
      </c>
      <c r="N181">
        <v>0</v>
      </c>
      <c r="O181" s="88" t="s">
        <v>763</v>
      </c>
      <c r="U181" s="371"/>
      <c r="V181" s="381">
        <f>N181</f>
        <v>0</v>
      </c>
      <c r="W181" s="354"/>
      <c r="X181" s="339">
        <f>F181*J181/L181</f>
        <v>8474.57627118644</v>
      </c>
    </row>
    <row r="182" spans="21:24" ht="14.25">
      <c r="U182" s="371"/>
      <c r="V182" s="371"/>
      <c r="W182" s="354"/>
      <c r="X182" s="339"/>
    </row>
    <row r="183" spans="1:24" ht="27.75" customHeight="1">
      <c r="A183" s="365" t="str">
        <f>'ｺｽﾄ表'!B49</f>
        <v>　製品販売価格</v>
      </c>
      <c r="B183" s="18"/>
      <c r="C183" s="18"/>
      <c r="D183" s="18"/>
      <c r="E183" s="18"/>
      <c r="F183" s="18"/>
      <c r="G183" s="18"/>
      <c r="H183" s="18"/>
      <c r="I183" s="18"/>
      <c r="J183" s="18"/>
      <c r="K183" s="18"/>
      <c r="L183" s="18"/>
      <c r="M183" s="18"/>
      <c r="N183" s="18"/>
      <c r="O183" s="18"/>
      <c r="P183" s="80"/>
      <c r="Q183" s="18"/>
      <c r="R183" s="18"/>
      <c r="S183" s="80"/>
      <c r="T183" s="18"/>
      <c r="U183" s="366">
        <f>'ｺｽﾄ表'!H49</f>
        <v>372916.97109433677</v>
      </c>
      <c r="V183" s="366">
        <f>'ｺｽﾄ表'!K49</f>
        <v>349466.8752278791</v>
      </c>
      <c r="W183" s="354"/>
      <c r="X183" s="339"/>
    </row>
    <row r="184" spans="1:22" ht="14.25">
      <c r="A184" s="18"/>
      <c r="B184" s="18"/>
      <c r="C184" s="18"/>
      <c r="D184" s="18"/>
      <c r="E184" s="18"/>
      <c r="F184" s="18"/>
      <c r="G184" s="18"/>
      <c r="H184" s="18"/>
      <c r="I184" s="18"/>
      <c r="J184" s="18"/>
      <c r="K184" s="18"/>
      <c r="L184" s="18"/>
      <c r="M184" s="18"/>
      <c r="N184" s="18"/>
      <c r="O184" s="18"/>
      <c r="P184" s="18"/>
      <c r="Q184" s="18"/>
      <c r="R184" s="18"/>
      <c r="S184" s="18"/>
      <c r="T184" s="18"/>
      <c r="U184" s="18"/>
      <c r="V184" s="18"/>
    </row>
    <row r="185" spans="1:19" ht="19.5" customHeight="1">
      <c r="A185" s="89" t="s">
        <v>773</v>
      </c>
      <c r="S185" s="88" t="s">
        <v>774</v>
      </c>
    </row>
    <row r="186" spans="1:5" ht="24" customHeight="1">
      <c r="A186" s="88" t="s">
        <v>775</v>
      </c>
      <c r="E186" s="335" t="s">
        <v>776</v>
      </c>
    </row>
    <row r="187" spans="5:24" ht="15.75" customHeight="1">
      <c r="E187" s="88" t="s">
        <v>658</v>
      </c>
      <c r="F187">
        <f>'配合'!I6</f>
        <v>1.35</v>
      </c>
      <c r="G187" s="94" t="s">
        <v>603</v>
      </c>
      <c r="H187">
        <f>'配合'!H6/100</f>
        <v>0.45</v>
      </c>
      <c r="I187" s="94" t="s">
        <v>603</v>
      </c>
      <c r="J187">
        <f>'配合'!J6/100</f>
        <v>0.95</v>
      </c>
      <c r="K187" s="94" t="s">
        <v>618</v>
      </c>
      <c r="L187">
        <f>'配合'!I7</f>
        <v>0.4</v>
      </c>
      <c r="M187" s="94" t="s">
        <v>603</v>
      </c>
      <c r="N187">
        <f>'配合'!H7/100</f>
        <v>0.75</v>
      </c>
      <c r="O187" s="94" t="s">
        <v>603</v>
      </c>
      <c r="P187">
        <f>'配合'!J7/100</f>
        <v>0.95</v>
      </c>
      <c r="Q187" s="88" t="s">
        <v>658</v>
      </c>
      <c r="R187" s="382">
        <f>'配合'!K6+'配合'!K7</f>
        <v>0.862125</v>
      </c>
      <c r="S187" s="88" t="s">
        <v>777</v>
      </c>
      <c r="X187" s="383">
        <f>F187*H187*J187+L187*N187*P187</f>
        <v>0.862125</v>
      </c>
    </row>
    <row r="188" spans="1:24" ht="27" customHeight="1">
      <c r="A188" s="90" t="s">
        <v>778</v>
      </c>
      <c r="D188" s="335" t="s">
        <v>779</v>
      </c>
      <c r="X188" s="383"/>
    </row>
    <row r="189" spans="2:24" ht="15.75" customHeight="1">
      <c r="B189" t="str">
        <f>B180</f>
        <v>方案歩留り５０％</v>
      </c>
      <c r="E189" s="88" t="s">
        <v>625</v>
      </c>
      <c r="F189">
        <f>'配合'!L13/100</f>
        <v>0.40700000000000003</v>
      </c>
      <c r="G189" s="94" t="s">
        <v>603</v>
      </c>
      <c r="H189">
        <f>'配合'!C13</f>
        <v>3.8</v>
      </c>
      <c r="I189" s="94" t="s">
        <v>618</v>
      </c>
      <c r="J189">
        <f>'配合'!L17/100</f>
        <v>0.523</v>
      </c>
      <c r="K189" s="94" t="s">
        <v>603</v>
      </c>
      <c r="L189">
        <f>'配合'!C17</f>
        <v>3.8</v>
      </c>
      <c r="M189" s="94" t="s">
        <v>618</v>
      </c>
      <c r="N189">
        <f>'配合'!L16/100</f>
        <v>0.07</v>
      </c>
      <c r="O189" s="94" t="s">
        <v>603</v>
      </c>
      <c r="P189">
        <f>'配合'!C16</f>
        <v>0.1</v>
      </c>
      <c r="Q189" s="88" t="s">
        <v>627</v>
      </c>
      <c r="R189">
        <f>'配合'!I12/100</f>
        <v>0.99</v>
      </c>
      <c r="S189" s="88" t="s">
        <v>658</v>
      </c>
      <c r="T189" s="382">
        <f>'配合'!S18</f>
        <v>3.5055900000000007</v>
      </c>
      <c r="X189" s="383">
        <f>(F189*H189+J189*L189+N189*P189)*R189</f>
        <v>3.5055899999999998</v>
      </c>
    </row>
    <row r="190" spans="2:24" ht="15.75" customHeight="1">
      <c r="B190" t="str">
        <f>B181</f>
        <v>方案歩留り６０％</v>
      </c>
      <c r="E190" s="88" t="s">
        <v>625</v>
      </c>
      <c r="F190">
        <f>'配合'!M13/100</f>
        <v>0.501</v>
      </c>
      <c r="G190" s="94" t="s">
        <v>603</v>
      </c>
      <c r="H190">
        <f>H189</f>
        <v>3.8</v>
      </c>
      <c r="I190" s="94" t="s">
        <v>618</v>
      </c>
      <c r="J190">
        <f>'配合'!M17/100</f>
        <v>0.429</v>
      </c>
      <c r="K190" s="94" t="s">
        <v>603</v>
      </c>
      <c r="L190">
        <f>L189</f>
        <v>3.8</v>
      </c>
      <c r="M190" s="94" t="s">
        <v>618</v>
      </c>
      <c r="N190">
        <f>'配合'!M16/100</f>
        <v>0.07</v>
      </c>
      <c r="O190" s="94" t="s">
        <v>603</v>
      </c>
      <c r="P190">
        <f>P189</f>
        <v>0.1</v>
      </c>
      <c r="Q190" s="88" t="s">
        <v>627</v>
      </c>
      <c r="R190">
        <f>R189</f>
        <v>0.99</v>
      </c>
      <c r="S190" s="88" t="s">
        <v>658</v>
      </c>
      <c r="T190" s="382">
        <f>'配合'!X18</f>
        <v>3.50559</v>
      </c>
      <c r="X190" s="383">
        <f>(F190*H190+J190*L190+N190*P190)*R190</f>
        <v>3.5055899999999998</v>
      </c>
    </row>
    <row r="191" spans="1:20" ht="25.5" customHeight="1">
      <c r="A191" s="90" t="s">
        <v>780</v>
      </c>
      <c r="D191" s="335" t="s">
        <v>781</v>
      </c>
      <c r="T191" s="96"/>
    </row>
    <row r="192" spans="2:24" ht="21.75" customHeight="1">
      <c r="B192" t="str">
        <f>B189</f>
        <v>方案歩留り５０％</v>
      </c>
      <c r="E192" s="88" t="s">
        <v>625</v>
      </c>
      <c r="F192" s="75">
        <f>'配合'!B6</f>
        <v>3.8</v>
      </c>
      <c r="G192" s="88" t="s">
        <v>605</v>
      </c>
      <c r="H192" s="75">
        <f>T189</f>
        <v>3.5055900000000007</v>
      </c>
      <c r="I192" s="88" t="s">
        <v>635</v>
      </c>
      <c r="J192">
        <f>'配合'!C20/100</f>
        <v>0.95</v>
      </c>
      <c r="K192" s="88" t="s">
        <v>593</v>
      </c>
      <c r="L192" s="75">
        <f>'配合'!I20/100</f>
        <v>0.9</v>
      </c>
      <c r="M192" s="88" t="s">
        <v>658</v>
      </c>
      <c r="N192" t="s">
        <v>772</v>
      </c>
      <c r="T192" s="347">
        <f>'配合'!L20</f>
        <v>0.3443391812865487</v>
      </c>
      <c r="X192" s="383">
        <f>(F192-H192)/J192/L192</f>
        <v>0.3443391812865488</v>
      </c>
    </row>
    <row r="193" spans="2:24" ht="14.25">
      <c r="B193" t="str">
        <f>B190</f>
        <v>方案歩留り６０％</v>
      </c>
      <c r="E193" s="88" t="s">
        <v>625</v>
      </c>
      <c r="F193" s="75">
        <f>F192</f>
        <v>3.8</v>
      </c>
      <c r="G193" s="88" t="s">
        <v>605</v>
      </c>
      <c r="H193" s="75">
        <f>T190</f>
        <v>3.50559</v>
      </c>
      <c r="I193" s="88" t="s">
        <v>635</v>
      </c>
      <c r="J193">
        <f>J192</f>
        <v>0.95</v>
      </c>
      <c r="K193" s="88" t="s">
        <v>593</v>
      </c>
      <c r="L193" s="75">
        <f>L192</f>
        <v>0.9</v>
      </c>
      <c r="M193" s="88" t="s">
        <v>658</v>
      </c>
      <c r="N193" t="s">
        <v>772</v>
      </c>
      <c r="T193" s="347">
        <f>'配合'!M20</f>
        <v>0.3443391812865492</v>
      </c>
      <c r="X193" s="383">
        <f>(F193-H193)/J193/L193</f>
        <v>0.3443391812865493</v>
      </c>
    </row>
    <row r="194" spans="1:6" ht="22.5" customHeight="1">
      <c r="A194" s="90" t="s">
        <v>782</v>
      </c>
      <c r="D194" s="335" t="s">
        <v>783</v>
      </c>
      <c r="E194" s="88" t="s">
        <v>423</v>
      </c>
      <c r="F194" s="335" t="s">
        <v>784</v>
      </c>
    </row>
    <row r="195" spans="2:24" ht="21.75" customHeight="1">
      <c r="B195" t="str">
        <f>B192</f>
        <v>方案歩留り５０％</v>
      </c>
      <c r="E195" s="88" t="s">
        <v>625</v>
      </c>
      <c r="F195">
        <f>F189</f>
        <v>0.40700000000000003</v>
      </c>
      <c r="G195" s="94" t="s">
        <v>603</v>
      </c>
      <c r="H195" s="75">
        <f>'配合'!D13</f>
        <v>0.96</v>
      </c>
      <c r="I195" s="94" t="s">
        <v>618</v>
      </c>
      <c r="J195">
        <f>J189</f>
        <v>0.523</v>
      </c>
      <c r="K195" s="94" t="s">
        <v>603</v>
      </c>
      <c r="L195" s="75">
        <f>'配合'!D17</f>
        <v>2.7</v>
      </c>
      <c r="M195" s="94" t="s">
        <v>618</v>
      </c>
      <c r="N195">
        <f>N189</f>
        <v>0.07</v>
      </c>
      <c r="O195" s="94" t="s">
        <v>603</v>
      </c>
      <c r="P195" s="75">
        <f>'配合'!D16</f>
        <v>0.1</v>
      </c>
      <c r="Q195" s="88" t="s">
        <v>627</v>
      </c>
      <c r="R195">
        <f>'配合'!J12/100</f>
        <v>0.99</v>
      </c>
      <c r="S195" s="88" t="s">
        <v>658</v>
      </c>
      <c r="T195" s="382">
        <f>'配合'!T18</f>
        <v>1.7917218000000001</v>
      </c>
      <c r="X195" s="383">
        <f>(F195*H195+J195*L195+N195*P195)*R195</f>
        <v>1.7917218</v>
      </c>
    </row>
    <row r="196" spans="2:24" ht="16.5" customHeight="1">
      <c r="B196" t="str">
        <f>B193</f>
        <v>方案歩留り６０％</v>
      </c>
      <c r="E196" s="88" t="s">
        <v>625</v>
      </c>
      <c r="F196">
        <f>F190</f>
        <v>0.501</v>
      </c>
      <c r="G196" s="94" t="s">
        <v>603</v>
      </c>
      <c r="H196" s="75">
        <f>H195</f>
        <v>0.96</v>
      </c>
      <c r="I196" s="94" t="s">
        <v>618</v>
      </c>
      <c r="J196">
        <f>J190</f>
        <v>0.429</v>
      </c>
      <c r="K196" s="94" t="s">
        <v>603</v>
      </c>
      <c r="L196" s="75">
        <f>L195</f>
        <v>2.7</v>
      </c>
      <c r="M196" s="94" t="s">
        <v>618</v>
      </c>
      <c r="N196">
        <f>N190</f>
        <v>0.07</v>
      </c>
      <c r="O196" s="94" t="s">
        <v>603</v>
      </c>
      <c r="P196" s="75">
        <f>P195</f>
        <v>0.1</v>
      </c>
      <c r="Q196" s="88" t="s">
        <v>627</v>
      </c>
      <c r="R196">
        <f>R195</f>
        <v>0.99</v>
      </c>
      <c r="S196" s="88" t="s">
        <v>658</v>
      </c>
      <c r="T196" s="382">
        <f>'配合'!Y18</f>
        <v>1.6297974</v>
      </c>
      <c r="X196" s="383">
        <f>(F196*H196+J196*L196+N196*P196)*R196</f>
        <v>1.6297974</v>
      </c>
    </row>
    <row r="197" spans="1:4" ht="27.75" customHeight="1">
      <c r="A197" s="90" t="s">
        <v>785</v>
      </c>
      <c r="D197" s="335" t="s">
        <v>786</v>
      </c>
    </row>
    <row r="198" spans="2:24" ht="15.75" customHeight="1">
      <c r="B198" t="str">
        <f>B192</f>
        <v>方案歩留り５０％</v>
      </c>
      <c r="E198" s="88" t="s">
        <v>625</v>
      </c>
      <c r="F198" s="75">
        <f>'配合'!C6</f>
        <v>2.7</v>
      </c>
      <c r="G198" s="384" t="s">
        <v>605</v>
      </c>
      <c r="H198" s="75">
        <f>T195</f>
        <v>1.7917218000000001</v>
      </c>
      <c r="I198" s="384" t="s">
        <v>605</v>
      </c>
      <c r="J198" s="75">
        <f>R187</f>
        <v>0.862125</v>
      </c>
      <c r="K198" s="88" t="s">
        <v>635</v>
      </c>
      <c r="L198">
        <f>'配合'!D18/100</f>
        <v>0.75</v>
      </c>
      <c r="M198" s="88" t="s">
        <v>593</v>
      </c>
      <c r="N198">
        <f>'配合'!J18/100</f>
        <v>0.95</v>
      </c>
      <c r="O198" s="88" t="s">
        <v>658</v>
      </c>
      <c r="P198" t="s">
        <v>619</v>
      </c>
      <c r="T198" s="347">
        <f>'配合'!L18</f>
        <v>0.06477642105263158</v>
      </c>
      <c r="X198" s="383">
        <f>(F198-H198-J198)/L198/N198</f>
        <v>0.06477642105263158</v>
      </c>
    </row>
    <row r="199" spans="2:24" ht="16.5" customHeight="1">
      <c r="B199" t="str">
        <f>B193</f>
        <v>方案歩留り６０％</v>
      </c>
      <c r="E199" s="88" t="s">
        <v>625</v>
      </c>
      <c r="F199" s="75">
        <f>F198</f>
        <v>2.7</v>
      </c>
      <c r="G199" s="384" t="s">
        <v>605</v>
      </c>
      <c r="H199" s="75">
        <f>T196</f>
        <v>1.6297974</v>
      </c>
      <c r="I199" s="384" t="s">
        <v>605</v>
      </c>
      <c r="J199" s="75">
        <f>R187</f>
        <v>0.862125</v>
      </c>
      <c r="K199" s="88" t="s">
        <v>635</v>
      </c>
      <c r="L199">
        <f>L198</f>
        <v>0.75</v>
      </c>
      <c r="M199" s="88" t="s">
        <v>593</v>
      </c>
      <c r="N199">
        <f>N198</f>
        <v>0.95</v>
      </c>
      <c r="O199" s="88" t="s">
        <v>658</v>
      </c>
      <c r="P199" t="s">
        <v>619</v>
      </c>
      <c r="T199" s="347">
        <f>'配合'!M18</f>
        <v>0.2920387368421055</v>
      </c>
      <c r="X199" s="383">
        <f>(F199-H199-J199)/L199/N199</f>
        <v>0.2920387368421056</v>
      </c>
    </row>
    <row r="200" spans="1:4" ht="25.5" customHeight="1">
      <c r="A200" s="90" t="s">
        <v>787</v>
      </c>
      <c r="D200" s="335" t="s">
        <v>788</v>
      </c>
    </row>
    <row r="201" spans="2:24" ht="16.5" customHeight="1">
      <c r="B201" t="str">
        <f>B198</f>
        <v>方案歩留り５０％</v>
      </c>
      <c r="E201" s="88" t="s">
        <v>625</v>
      </c>
      <c r="F201">
        <f>F195</f>
        <v>0.40700000000000003</v>
      </c>
      <c r="G201" s="94" t="s">
        <v>603</v>
      </c>
      <c r="H201">
        <f>'配合'!H13</f>
        <v>0.05</v>
      </c>
      <c r="I201" s="94" t="s">
        <v>618</v>
      </c>
      <c r="J201">
        <f>J195</f>
        <v>0.523</v>
      </c>
      <c r="K201" s="94" t="s">
        <v>603</v>
      </c>
      <c r="L201">
        <f>'配合'!H17</f>
        <v>0.01</v>
      </c>
      <c r="M201" s="94" t="s">
        <v>618</v>
      </c>
      <c r="N201">
        <f>N195</f>
        <v>0.07</v>
      </c>
      <c r="O201" s="94" t="s">
        <v>603</v>
      </c>
      <c r="P201">
        <f>'配合'!H16</f>
        <v>0.01</v>
      </c>
      <c r="Q201" s="88" t="s">
        <v>627</v>
      </c>
      <c r="R201" s="75">
        <v>1</v>
      </c>
      <c r="S201" s="88" t="s">
        <v>658</v>
      </c>
      <c r="T201" s="325">
        <f>'配合'!AK18</f>
        <v>0.026280000000000005</v>
      </c>
      <c r="X201" s="325">
        <f>(F201*H201+J201*L201+N201*P201)*R201</f>
        <v>0.026280000000000005</v>
      </c>
    </row>
    <row r="202" spans="2:24" ht="15.75" customHeight="1">
      <c r="B202" t="str">
        <f>B199</f>
        <v>方案歩留り６０％</v>
      </c>
      <c r="E202" s="88" t="s">
        <v>625</v>
      </c>
      <c r="F202">
        <f>F196</f>
        <v>0.501</v>
      </c>
      <c r="G202" s="94" t="s">
        <v>603</v>
      </c>
      <c r="H202">
        <f>H201</f>
        <v>0.05</v>
      </c>
      <c r="I202" s="94" t="s">
        <v>618</v>
      </c>
      <c r="J202">
        <f>J196</f>
        <v>0.429</v>
      </c>
      <c r="K202" s="94" t="s">
        <v>603</v>
      </c>
      <c r="L202">
        <f>L201</f>
        <v>0.01</v>
      </c>
      <c r="M202" s="94" t="s">
        <v>618</v>
      </c>
      <c r="N202">
        <f>N196</f>
        <v>0.07</v>
      </c>
      <c r="O202" s="94" t="s">
        <v>603</v>
      </c>
      <c r="P202">
        <f>P201</f>
        <v>0.01</v>
      </c>
      <c r="Q202" s="88" t="s">
        <v>627</v>
      </c>
      <c r="R202" s="75">
        <v>1</v>
      </c>
      <c r="S202" s="88" t="s">
        <v>658</v>
      </c>
      <c r="T202" s="325">
        <f>'配合'!AL18</f>
        <v>0.030040000000000004</v>
      </c>
      <c r="X202" s="325">
        <f>(F202*H202+J202*L202+N202*P202)*R202</f>
        <v>0.030040000000000004</v>
      </c>
    </row>
    <row r="203" spans="1:4" ht="24.75" customHeight="1">
      <c r="A203" s="90" t="s">
        <v>789</v>
      </c>
      <c r="D203" s="335" t="s">
        <v>790</v>
      </c>
    </row>
    <row r="204" spans="2:24" ht="15.75" customHeight="1">
      <c r="B204" t="str">
        <f>B201</f>
        <v>方案歩留り５０％</v>
      </c>
      <c r="E204" s="88" t="s">
        <v>625</v>
      </c>
      <c r="F204" s="75">
        <f>'配合'!D6</f>
        <v>0.7</v>
      </c>
      <c r="G204" s="88" t="s">
        <v>605</v>
      </c>
      <c r="H204" s="325">
        <f>T201</f>
        <v>0.026280000000000005</v>
      </c>
      <c r="I204" s="88" t="s">
        <v>635</v>
      </c>
      <c r="J204">
        <f>'配合'!H19/100</f>
        <v>0.99</v>
      </c>
      <c r="K204" s="88" t="s">
        <v>593</v>
      </c>
      <c r="L204" s="75">
        <f>'配合'!K19/100</f>
        <v>0.9</v>
      </c>
      <c r="M204" s="88" t="s">
        <v>658</v>
      </c>
      <c r="N204" t="s">
        <v>772</v>
      </c>
      <c r="T204" s="346">
        <f>'配合'!L19</f>
        <v>0.7561391694725028</v>
      </c>
      <c r="X204" s="385">
        <f>(F204-H204)/J204/L204</f>
        <v>0.7561391694725028</v>
      </c>
    </row>
    <row r="205" spans="2:24" ht="18" customHeight="1">
      <c r="B205" t="str">
        <f>B202</f>
        <v>方案歩留り６０％</v>
      </c>
      <c r="E205" s="88" t="s">
        <v>625</v>
      </c>
      <c r="F205" s="75">
        <f>F204</f>
        <v>0.7</v>
      </c>
      <c r="G205" s="88" t="s">
        <v>605</v>
      </c>
      <c r="H205" s="325">
        <f>T202</f>
        <v>0.030040000000000004</v>
      </c>
      <c r="I205" s="88" t="s">
        <v>635</v>
      </c>
      <c r="J205">
        <f>J204</f>
        <v>0.99</v>
      </c>
      <c r="K205" s="88" t="s">
        <v>593</v>
      </c>
      <c r="L205" s="75">
        <f>L204</f>
        <v>0.9</v>
      </c>
      <c r="M205" s="88" t="s">
        <v>658</v>
      </c>
      <c r="N205" t="s">
        <v>772</v>
      </c>
      <c r="T205" s="346">
        <f>'配合'!M19</f>
        <v>0.751919191919192</v>
      </c>
      <c r="X205" s="385">
        <f>(F205-H205)/J205/L205</f>
        <v>0.7519191919191919</v>
      </c>
    </row>
    <row r="206" ht="15.75" customHeight="1"/>
    <row r="207" ht="22.5" customHeight="1"/>
    <row r="208" ht="15.75" customHeight="1"/>
    <row r="210" spans="1:18" ht="25.5" customHeight="1">
      <c r="A210" s="24" t="s">
        <v>791</v>
      </c>
      <c r="E210" s="335" t="s">
        <v>792</v>
      </c>
      <c r="R210" s="88" t="s">
        <v>793</v>
      </c>
    </row>
    <row r="211" ht="18.75" customHeight="1">
      <c r="A211" t="s">
        <v>794</v>
      </c>
    </row>
    <row r="212" ht="15.75" customHeight="1">
      <c r="A212" t="s">
        <v>795</v>
      </c>
    </row>
    <row r="213" ht="18.75" customHeight="1">
      <c r="A213" s="88" t="s">
        <v>796</v>
      </c>
    </row>
    <row r="214" ht="16.5" customHeight="1">
      <c r="A214" t="s">
        <v>797</v>
      </c>
    </row>
    <row r="215" spans="2:12" ht="25.5" customHeight="1">
      <c r="B215" s="88" t="s">
        <v>798</v>
      </c>
      <c r="K215" s="386">
        <f>'操業条件'!H14</f>
        <v>10</v>
      </c>
      <c r="L215" t="s">
        <v>799</v>
      </c>
    </row>
    <row r="216" spans="2:12" ht="15.75" customHeight="1">
      <c r="B216" s="88" t="s">
        <v>800</v>
      </c>
      <c r="K216" s="386">
        <f>'操業条件'!H15</f>
        <v>20</v>
      </c>
      <c r="L216" s="94" t="s">
        <v>801</v>
      </c>
    </row>
    <row r="217" ht="15.75" customHeight="1">
      <c r="B217" t="s">
        <v>802</v>
      </c>
    </row>
    <row r="218" spans="2:14" ht="16.5" customHeight="1">
      <c r="B218" s="88" t="s">
        <v>803</v>
      </c>
      <c r="N218" s="94" t="str">
        <f>'操業条件'!S15</f>
        <v>　c㎡/5kg</v>
      </c>
    </row>
    <row r="219" spans="2:19" ht="15.75" customHeight="1">
      <c r="B219" s="88" t="s">
        <v>804</v>
      </c>
      <c r="C219" s="88" t="s">
        <v>805</v>
      </c>
      <c r="I219" s="386">
        <f>'操業条件'!H13</f>
        <v>1</v>
      </c>
      <c r="J219" s="94" t="s">
        <v>806</v>
      </c>
      <c r="L219" t="s">
        <v>807</v>
      </c>
      <c r="N219" s="369">
        <f>'操業条件'!H16</f>
        <v>14314.285714285716</v>
      </c>
      <c r="P219" t="s">
        <v>808</v>
      </c>
      <c r="R219" s="341">
        <f>'操業条件'!H17</f>
        <v>2.0040000000000004</v>
      </c>
      <c r="S219" t="s">
        <v>55</v>
      </c>
    </row>
    <row r="220" spans="2:19" ht="15.75" customHeight="1">
      <c r="B220" s="88" t="s">
        <v>809</v>
      </c>
      <c r="C220" s="88" t="s">
        <v>810</v>
      </c>
      <c r="L220" t="s">
        <v>807</v>
      </c>
      <c r="N220" s="369">
        <f>'操業条件'!S21</f>
        <v>566.875</v>
      </c>
      <c r="P220" t="s">
        <v>808</v>
      </c>
      <c r="R220" s="341">
        <f>'操業条件'!H21</f>
        <v>0.0793625</v>
      </c>
      <c r="S220" t="s">
        <v>55</v>
      </c>
    </row>
    <row r="221" spans="2:19" ht="15.75" customHeight="1">
      <c r="B221" s="88" t="s">
        <v>811</v>
      </c>
      <c r="C221" s="88" t="s">
        <v>812</v>
      </c>
      <c r="L221" t="s">
        <v>807</v>
      </c>
      <c r="N221" s="369">
        <f>'操業条件'!S19</f>
        <v>1133.75</v>
      </c>
      <c r="P221" t="s">
        <v>808</v>
      </c>
      <c r="R221" s="341">
        <f>'操業条件'!H19</f>
        <v>0.158725</v>
      </c>
      <c r="S221" t="s">
        <v>55</v>
      </c>
    </row>
    <row r="222" ht="24" customHeight="1">
      <c r="A222" s="90" t="s">
        <v>813</v>
      </c>
    </row>
    <row r="223" ht="16.5" customHeight="1">
      <c r="B223" s="335" t="s">
        <v>814</v>
      </c>
    </row>
    <row r="224" spans="2:24" ht="15.75" customHeight="1">
      <c r="B224" s="88" t="str">
        <f>B201</f>
        <v>方案歩留り５０％</v>
      </c>
      <c r="E224" s="88" t="s">
        <v>815</v>
      </c>
      <c r="F224">
        <f>F201</f>
        <v>0.40700000000000003</v>
      </c>
      <c r="G224" s="94" t="s">
        <v>603</v>
      </c>
      <c r="H224">
        <f>R220</f>
        <v>0.0793625</v>
      </c>
      <c r="I224" s="94" t="s">
        <v>618</v>
      </c>
      <c r="J224">
        <f>J201</f>
        <v>0.523</v>
      </c>
      <c r="K224" s="94" t="s">
        <v>603</v>
      </c>
      <c r="L224">
        <f>R221</f>
        <v>0.158725</v>
      </c>
      <c r="M224" s="94" t="s">
        <v>618</v>
      </c>
      <c r="N224">
        <f>N201</f>
        <v>0.07</v>
      </c>
      <c r="O224" s="94" t="s">
        <v>603</v>
      </c>
      <c r="P224">
        <f>R219</f>
        <v>2.0040000000000004</v>
      </c>
      <c r="Q224" s="88" t="s">
        <v>816</v>
      </c>
      <c r="R224" s="387">
        <f>(F224*H224+J224*L224+N224*P224)</f>
        <v>0.25559371250000007</v>
      </c>
      <c r="S224" s="90" t="s">
        <v>817</v>
      </c>
      <c r="X224" s="385">
        <f>(F224*H224+J224*L224+N224*P224)</f>
        <v>0.25559371250000007</v>
      </c>
    </row>
    <row r="225" spans="2:24" ht="15.75" customHeight="1">
      <c r="B225" s="88" t="str">
        <f>B202</f>
        <v>方案歩留り６０％</v>
      </c>
      <c r="E225" s="88" t="s">
        <v>815</v>
      </c>
      <c r="F225">
        <f>F202</f>
        <v>0.501</v>
      </c>
      <c r="G225" s="94" t="s">
        <v>603</v>
      </c>
      <c r="H225">
        <f>R220</f>
        <v>0.0793625</v>
      </c>
      <c r="I225" s="94" t="s">
        <v>618</v>
      </c>
      <c r="J225">
        <f>J202</f>
        <v>0.429</v>
      </c>
      <c r="K225" s="94" t="s">
        <v>603</v>
      </c>
      <c r="L225">
        <f>R221</f>
        <v>0.158725</v>
      </c>
      <c r="M225" s="94" t="s">
        <v>618</v>
      </c>
      <c r="N225">
        <f>N202</f>
        <v>0.07</v>
      </c>
      <c r="O225" s="94" t="s">
        <v>603</v>
      </c>
      <c r="P225">
        <f>R219</f>
        <v>2.0040000000000004</v>
      </c>
      <c r="Q225" s="88" t="s">
        <v>816</v>
      </c>
      <c r="R225" s="387">
        <f>(F225*H225+J225*L225+N225*P225)</f>
        <v>0.24813363750000006</v>
      </c>
      <c r="S225" s="90" t="s">
        <v>817</v>
      </c>
      <c r="X225" s="385">
        <f>(F225*H225+J225*L225+N225*P225)</f>
        <v>0.24813363750000006</v>
      </c>
    </row>
    <row r="226" spans="1:8" ht="21.75" customHeight="1">
      <c r="A226" s="90" t="s">
        <v>818</v>
      </c>
      <c r="H226" s="94"/>
    </row>
    <row r="227" ht="18" customHeight="1">
      <c r="D227" s="335" t="s">
        <v>819</v>
      </c>
    </row>
    <row r="228" spans="2:18" ht="24" customHeight="1">
      <c r="B228" s="90" t="s">
        <v>820</v>
      </c>
      <c r="F228" s="388" t="s">
        <v>821</v>
      </c>
      <c r="G228" s="335" t="s">
        <v>603</v>
      </c>
      <c r="H228" s="334">
        <v>0.2</v>
      </c>
      <c r="I228" s="334" t="s">
        <v>658</v>
      </c>
      <c r="J228" s="388" t="s">
        <v>822</v>
      </c>
      <c r="K228" s="335" t="s">
        <v>603</v>
      </c>
      <c r="L228" s="335" t="s">
        <v>823</v>
      </c>
      <c r="M228" s="334" t="s">
        <v>423</v>
      </c>
      <c r="N228" s="388" t="s">
        <v>824</v>
      </c>
      <c r="R228" s="88" t="s">
        <v>825</v>
      </c>
    </row>
    <row r="229" spans="2:18" ht="15.75" customHeight="1">
      <c r="B229" t="str">
        <f>B224</f>
        <v>方案歩留り５０％</v>
      </c>
      <c r="E229" s="88" t="s">
        <v>423</v>
      </c>
      <c r="F229">
        <f>'配合'!AC23</f>
        <v>0.03541</v>
      </c>
      <c r="G229" s="94" t="s">
        <v>603</v>
      </c>
      <c r="H229">
        <v>0.2</v>
      </c>
      <c r="I229" s="88" t="s">
        <v>658</v>
      </c>
      <c r="J229" s="341">
        <f>F229*H229</f>
        <v>0.007082</v>
      </c>
      <c r="K229" s="94" t="s">
        <v>603</v>
      </c>
      <c r="L229" s="94" t="s">
        <v>826</v>
      </c>
      <c r="M229" s="88" t="s">
        <v>423</v>
      </c>
      <c r="N229" s="325">
        <f>J229*55.85/12</f>
        <v>0.032960808333333334</v>
      </c>
      <c r="Q229" s="88" t="s">
        <v>827</v>
      </c>
      <c r="R229">
        <v>55.85</v>
      </c>
    </row>
    <row r="230" spans="2:18" ht="15.75" customHeight="1">
      <c r="B230" t="str">
        <f>B225</f>
        <v>方案歩留り６０％</v>
      </c>
      <c r="E230" s="88" t="s">
        <v>423</v>
      </c>
      <c r="F230">
        <f>'配合'!AF23</f>
        <v>0.03541</v>
      </c>
      <c r="G230" s="94" t="s">
        <v>603</v>
      </c>
      <c r="H230">
        <v>0.2</v>
      </c>
      <c r="I230" s="88" t="s">
        <v>658</v>
      </c>
      <c r="J230" s="341">
        <f>F230*H230</f>
        <v>0.007082</v>
      </c>
      <c r="K230" s="94" t="s">
        <v>603</v>
      </c>
      <c r="L230" s="94" t="s">
        <v>826</v>
      </c>
      <c r="M230" s="88" t="s">
        <v>423</v>
      </c>
      <c r="N230" s="325">
        <f>J230*55.85/12</f>
        <v>0.032960808333333334</v>
      </c>
      <c r="Q230" s="88" t="s">
        <v>828</v>
      </c>
      <c r="R230">
        <v>12</v>
      </c>
    </row>
    <row r="231" spans="2:18" ht="25.5" customHeight="1">
      <c r="B231" s="90" t="s">
        <v>829</v>
      </c>
      <c r="F231" s="388" t="s">
        <v>830</v>
      </c>
      <c r="G231" s="335" t="s">
        <v>603</v>
      </c>
      <c r="H231" s="334">
        <v>0.2</v>
      </c>
      <c r="I231" s="334" t="s">
        <v>658</v>
      </c>
      <c r="J231" s="388" t="s">
        <v>831</v>
      </c>
      <c r="K231" s="94" t="s">
        <v>603</v>
      </c>
      <c r="L231" s="335" t="s">
        <v>823</v>
      </c>
      <c r="M231" s="88" t="s">
        <v>423</v>
      </c>
      <c r="N231" s="388" t="s">
        <v>824</v>
      </c>
      <c r="Q231" s="88" t="s">
        <v>832</v>
      </c>
      <c r="R231">
        <v>28</v>
      </c>
    </row>
    <row r="232" spans="2:18" ht="18" customHeight="1">
      <c r="B232" t="str">
        <f>B229</f>
        <v>方案歩留り５０％</v>
      </c>
      <c r="E232" s="88" t="s">
        <v>423</v>
      </c>
      <c r="F232">
        <f>'配合'!AD23</f>
        <v>0.020527315789473685</v>
      </c>
      <c r="G232" s="94" t="s">
        <v>603</v>
      </c>
      <c r="H232">
        <v>0.2</v>
      </c>
      <c r="I232" s="88" t="s">
        <v>658</v>
      </c>
      <c r="J232" s="341">
        <f>F232*H232</f>
        <v>0.004105463157894737</v>
      </c>
      <c r="K232" s="94" t="s">
        <v>603</v>
      </c>
      <c r="L232" s="94" t="s">
        <v>833</v>
      </c>
      <c r="M232" s="88" t="s">
        <v>423</v>
      </c>
      <c r="N232" s="325">
        <f>J232*111.7/28</f>
        <v>0.01637786552631579</v>
      </c>
      <c r="Q232" t="s">
        <v>27</v>
      </c>
      <c r="R232">
        <v>54.94</v>
      </c>
    </row>
    <row r="233" spans="2:14" ht="15.75" customHeight="1">
      <c r="B233" t="str">
        <f>B230</f>
        <v>方案歩留り６０％</v>
      </c>
      <c r="E233" s="88" t="s">
        <v>423</v>
      </c>
      <c r="F233">
        <f>'配合'!AG23</f>
        <v>0.027414052631578957</v>
      </c>
      <c r="G233" s="94" t="s">
        <v>603</v>
      </c>
      <c r="H233">
        <v>0.2</v>
      </c>
      <c r="I233" s="88" t="s">
        <v>658</v>
      </c>
      <c r="J233" s="341">
        <f>F233*H233</f>
        <v>0.005482810526315792</v>
      </c>
      <c r="K233" s="94" t="s">
        <v>603</v>
      </c>
      <c r="L233" s="94" t="s">
        <v>833</v>
      </c>
      <c r="M233" s="88" t="s">
        <v>423</v>
      </c>
      <c r="N233" s="325">
        <f>J233*111.7/28</f>
        <v>0.021872497706766924</v>
      </c>
    </row>
    <row r="234" spans="2:18" ht="24.75" customHeight="1">
      <c r="B234" s="90" t="s">
        <v>834</v>
      </c>
      <c r="F234" s="388" t="s">
        <v>835</v>
      </c>
      <c r="G234" s="335" t="s">
        <v>603</v>
      </c>
      <c r="H234" s="334">
        <v>0.2</v>
      </c>
      <c r="I234" s="334" t="s">
        <v>658</v>
      </c>
      <c r="J234" s="388" t="s">
        <v>836</v>
      </c>
      <c r="K234" s="94" t="s">
        <v>603</v>
      </c>
      <c r="L234" s="335" t="s">
        <v>823</v>
      </c>
      <c r="M234" s="88" t="s">
        <v>423</v>
      </c>
      <c r="N234" s="388" t="s">
        <v>824</v>
      </c>
      <c r="P234" s="246" t="s">
        <v>837</v>
      </c>
      <c r="R234" s="246" t="s">
        <v>838</v>
      </c>
    </row>
    <row r="235" spans="2:19" ht="16.5" customHeight="1">
      <c r="B235" t="str">
        <f>B232</f>
        <v>方案歩留り５０％</v>
      </c>
      <c r="E235" s="88" t="s">
        <v>423</v>
      </c>
      <c r="F235">
        <f>'配合'!AE23</f>
        <v>0.07777777777777777</v>
      </c>
      <c r="G235" s="94" t="s">
        <v>603</v>
      </c>
      <c r="H235">
        <v>0.2</v>
      </c>
      <c r="I235" s="88" t="s">
        <v>658</v>
      </c>
      <c r="J235" s="341">
        <f>F235*H235</f>
        <v>0.015555555555555553</v>
      </c>
      <c r="K235" s="94" t="s">
        <v>603</v>
      </c>
      <c r="L235" s="94" t="s">
        <v>839</v>
      </c>
      <c r="M235" s="88" t="s">
        <v>423</v>
      </c>
      <c r="N235" s="325">
        <f>J235*55.85/54.94</f>
        <v>0.01581321037090968</v>
      </c>
      <c r="P235" s="387">
        <f>F229+F232+F235</f>
        <v>0.13371509356725145</v>
      </c>
      <c r="Q235" s="325" t="s">
        <v>55</v>
      </c>
      <c r="R235" s="387">
        <f>N229+N232+N235</f>
        <v>0.06515188423055882</v>
      </c>
      <c r="S235" s="325" t="s">
        <v>55</v>
      </c>
    </row>
    <row r="236" spans="2:19" ht="15.75" customHeight="1">
      <c r="B236" t="str">
        <f>B233</f>
        <v>方案歩留り６０％</v>
      </c>
      <c r="E236" s="88" t="s">
        <v>423</v>
      </c>
      <c r="F236">
        <f>'配合'!AH23</f>
        <v>0.07777777777777778</v>
      </c>
      <c r="G236" s="94" t="s">
        <v>603</v>
      </c>
      <c r="H236">
        <v>0.2</v>
      </c>
      <c r="I236" s="88" t="s">
        <v>658</v>
      </c>
      <c r="J236" s="341">
        <f>F236*H236</f>
        <v>0.015555555555555557</v>
      </c>
      <c r="K236" s="94" t="s">
        <v>603</v>
      </c>
      <c r="L236" s="94" t="s">
        <v>839</v>
      </c>
      <c r="M236" s="88" t="s">
        <v>423</v>
      </c>
      <c r="N236" s="325">
        <f>J236*55.85/54.94</f>
        <v>0.015813210370909683</v>
      </c>
      <c r="P236" s="387">
        <f>F230+F233+F236</f>
        <v>0.14060183040935673</v>
      </c>
      <c r="Q236" s="325" t="s">
        <v>55</v>
      </c>
      <c r="R236" s="387">
        <f>N230+N233+N236</f>
        <v>0.07064651641100994</v>
      </c>
      <c r="S236" s="325" t="s">
        <v>55</v>
      </c>
    </row>
    <row r="237" spans="1:13" ht="25.5" customHeight="1">
      <c r="A237" s="24" t="s">
        <v>840</v>
      </c>
      <c r="F237" s="388">
        <v>100</v>
      </c>
      <c r="G237" s="388" t="s">
        <v>841</v>
      </c>
      <c r="H237" s="388" t="s">
        <v>842</v>
      </c>
      <c r="I237" s="334" t="s">
        <v>843</v>
      </c>
      <c r="J237" s="388" t="s">
        <v>838</v>
      </c>
      <c r="K237" s="334" t="s">
        <v>844</v>
      </c>
      <c r="L237" s="388" t="s">
        <v>837</v>
      </c>
      <c r="M237" s="379"/>
    </row>
    <row r="238" spans="2:15" ht="18" customHeight="1">
      <c r="B238" t="str">
        <f>B235</f>
        <v>方案歩留り５０％</v>
      </c>
      <c r="E238" s="88" t="s">
        <v>423</v>
      </c>
      <c r="F238">
        <v>100</v>
      </c>
      <c r="G238" s="88" t="s">
        <v>845</v>
      </c>
      <c r="H238" s="325">
        <f>R224</f>
        <v>0.25559371250000007</v>
      </c>
      <c r="I238" t="s">
        <v>843</v>
      </c>
      <c r="J238" s="325">
        <f>R235</f>
        <v>0.06515188423055882</v>
      </c>
      <c r="K238" s="88" t="s">
        <v>844</v>
      </c>
      <c r="L238" s="325">
        <f>P235</f>
        <v>0.13371509356725145</v>
      </c>
      <c r="M238" s="88" t="s">
        <v>423</v>
      </c>
      <c r="N238" s="347">
        <f>F238-(H238-J238)-L238</f>
        <v>99.67584307816331</v>
      </c>
      <c r="O238" t="s">
        <v>55</v>
      </c>
    </row>
    <row r="239" spans="2:15" ht="15.75" customHeight="1">
      <c r="B239" t="str">
        <f>B236</f>
        <v>方案歩留り６０％</v>
      </c>
      <c r="E239" s="88" t="s">
        <v>423</v>
      </c>
      <c r="F239">
        <v>100</v>
      </c>
      <c r="G239" s="88" t="s">
        <v>845</v>
      </c>
      <c r="H239" s="325">
        <f>R225</f>
        <v>0.24813363750000006</v>
      </c>
      <c r="I239" t="s">
        <v>843</v>
      </c>
      <c r="J239" s="325">
        <f>R236</f>
        <v>0.07064651641100994</v>
      </c>
      <c r="K239" s="88" t="s">
        <v>844</v>
      </c>
      <c r="L239" s="325">
        <f>P236</f>
        <v>0.14060183040935673</v>
      </c>
      <c r="M239" s="88" t="s">
        <v>423</v>
      </c>
      <c r="N239" s="347">
        <f>F239-(H239-J239)-L239</f>
        <v>99.68191104850166</v>
      </c>
      <c r="O239" t="s">
        <v>55</v>
      </c>
    </row>
  </sheetData>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O61"/>
  <sheetViews>
    <sheetView showGridLines="0" showOutlineSymbols="0" zoomScale="87" zoomScaleNormal="87" workbookViewId="0" topLeftCell="A33">
      <selection activeCell="B29" sqref="B29"/>
    </sheetView>
  </sheetViews>
  <sheetFormatPr defaultColWidth="9.00390625" defaultRowHeight="14.25"/>
  <cols>
    <col min="1" max="1" width="13.25390625" style="0" customWidth="1"/>
    <col min="2" max="3" width="6.75390625" style="0" customWidth="1"/>
    <col min="4" max="4" width="5.75390625" style="0" customWidth="1"/>
    <col min="5" max="5" width="6.75390625" style="0" customWidth="1"/>
    <col min="6" max="6" width="8.50390625" style="0" customWidth="1"/>
    <col min="7" max="7" width="10.875" style="0" customWidth="1"/>
    <col min="8" max="8" width="7.125" style="0" customWidth="1"/>
    <col min="9" max="10" width="5.75390625" style="0" customWidth="1"/>
    <col min="11" max="11" width="8.50390625" style="0" customWidth="1"/>
    <col min="12" max="12" width="7.375" style="0" customWidth="1"/>
    <col min="13" max="13" width="8.625" style="0" customWidth="1"/>
    <col min="14" max="14" width="8.50390625" style="0" customWidth="1"/>
    <col min="15" max="16384" width="10.75390625" style="0" customWidth="1"/>
  </cols>
  <sheetData>
    <row r="1" spans="1:2" ht="15.75">
      <c r="A1" s="251">
        <v>36439</v>
      </c>
      <c r="B1" s="24" t="str">
        <f>'ｺｽﾄ表'!G1</f>
        <v> </v>
      </c>
    </row>
    <row r="28" spans="1:15" ht="14.25">
      <c r="A28" s="48"/>
      <c r="B28" s="253" t="s">
        <v>846</v>
      </c>
      <c r="C28" s="253" t="s">
        <v>847</v>
      </c>
      <c r="D28" s="253" t="s">
        <v>848</v>
      </c>
      <c r="E28" s="253" t="s">
        <v>849</v>
      </c>
      <c r="F28" s="253" t="s">
        <v>850</v>
      </c>
      <c r="G28" s="389" t="s">
        <v>851</v>
      </c>
      <c r="H28" s="389" t="s">
        <v>852</v>
      </c>
      <c r="I28" s="253" t="s">
        <v>853</v>
      </c>
      <c r="J28" s="253" t="s">
        <v>854</v>
      </c>
      <c r="K28" s="389" t="s">
        <v>855</v>
      </c>
      <c r="L28" s="389" t="s">
        <v>856</v>
      </c>
      <c r="M28" s="253" t="s">
        <v>857</v>
      </c>
      <c r="N28" s="389" t="s">
        <v>858</v>
      </c>
      <c r="O28" s="34"/>
    </row>
    <row r="29" spans="1:15" ht="14.25">
      <c r="A29" s="39" t="str">
        <f>'ｺｽﾄ表'!F4</f>
        <v>方案歩留り５０％</v>
      </c>
      <c r="B29" s="390">
        <f>'ｺｽﾄ表'!H10</f>
        <v>54188.952989684774</v>
      </c>
      <c r="C29" s="390">
        <f>'ｺｽﾄ表'!H15</f>
        <v>36731.6669515384</v>
      </c>
      <c r="D29" s="390">
        <f>'ｺｽﾄ表'!H19</f>
        <v>28594.415348798517</v>
      </c>
      <c r="E29" s="390">
        <f>'ｺｽﾄ表'!H24</f>
        <v>58733.09698700046</v>
      </c>
      <c r="F29" s="390">
        <f>'ｺｽﾄ表'!H31</f>
        <v>17048.128512452655</v>
      </c>
      <c r="G29" s="391">
        <f>'ｺｽﾄ表'!H32</f>
        <v>195296.26078947482</v>
      </c>
      <c r="H29" s="391">
        <f>'ｺｽﾄ表'!H41</f>
        <v>96694.9152542373</v>
      </c>
      <c r="I29" s="390">
        <f>'ｺｽﾄ表'!H44</f>
        <v>14915.254237288134</v>
      </c>
      <c r="J29" s="390">
        <f>'ｺｽﾄ表'!H45</f>
        <v>10000</v>
      </c>
      <c r="K29" s="391">
        <f>'ｺｽﾄ表'!H46</f>
        <v>316906.43028100027</v>
      </c>
      <c r="L29" s="391">
        <f>'ｺｽﾄ表'!H47</f>
        <v>47535.96454215004</v>
      </c>
      <c r="M29" s="390">
        <f>'ｺｽﾄ表'!H48</f>
        <v>8474.57627118644</v>
      </c>
      <c r="N29" s="391">
        <f>'ｺｽﾄ表'!H49</f>
        <v>372916.97109433677</v>
      </c>
      <c r="O29" s="34"/>
    </row>
    <row r="30" spans="1:15" ht="14.25">
      <c r="A30" s="39" t="str">
        <f>'ｺｽﾄ表'!G4</f>
        <v>方案歩留り６０％</v>
      </c>
      <c r="B30" s="390">
        <f>'ｺｽﾄ表'!K10</f>
        <v>52754.35238343157</v>
      </c>
      <c r="C30" s="390">
        <f>'ｺｽﾄ表'!K15</f>
        <v>30607.862768818024</v>
      </c>
      <c r="D30" s="390">
        <f>'ｺｽﾄ表'!K19</f>
        <v>28395.47391504118</v>
      </c>
      <c r="E30" s="390">
        <f>'ｺｽﾄ表'!K24</f>
        <v>48941.27349619729</v>
      </c>
      <c r="F30" s="390">
        <f>'ｺｽﾄ表'!K31</f>
        <v>14205.910516023607</v>
      </c>
      <c r="G30" s="391">
        <f>'ｺｽﾄ表'!K32</f>
        <v>174904.87307951166</v>
      </c>
      <c r="H30" s="391">
        <f>'ｺｽﾄ表'!K41</f>
        <v>96694.9152542373</v>
      </c>
      <c r="I30" s="390">
        <f>'ｺｽﾄ表'!K44</f>
        <v>14915.254237288134</v>
      </c>
      <c r="J30" s="390">
        <f>'ｺｽﾄ表'!K45</f>
        <v>10000</v>
      </c>
      <c r="K30" s="391">
        <f>'ｺｽﾄ表'!K46</f>
        <v>296515.0425710371</v>
      </c>
      <c r="L30" s="391">
        <f>'ｺｽﾄ表'!K47</f>
        <v>44477.256385655564</v>
      </c>
      <c r="M30" s="390">
        <f>'ｺｽﾄ表'!K48</f>
        <v>8474.57627118644</v>
      </c>
      <c r="N30" s="391">
        <f>'ｺｽﾄ表'!K49</f>
        <v>349466.8752278791</v>
      </c>
      <c r="O30" s="34"/>
    </row>
    <row r="31" spans="1:15" ht="14.25">
      <c r="A31" s="39" t="s">
        <v>859</v>
      </c>
      <c r="B31" s="390">
        <f aca="true" t="shared" si="0" ref="B31:N31">B30-B29</f>
        <v>-1434.6006062532033</v>
      </c>
      <c r="C31" s="390">
        <f t="shared" si="0"/>
        <v>-6123.804182720374</v>
      </c>
      <c r="D31" s="390">
        <f t="shared" si="0"/>
        <v>-198.9414337573362</v>
      </c>
      <c r="E31" s="390">
        <f t="shared" si="0"/>
        <v>-9791.823490803174</v>
      </c>
      <c r="F31" s="390">
        <f t="shared" si="0"/>
        <v>-2842.217996429048</v>
      </c>
      <c r="G31" s="391">
        <f t="shared" si="0"/>
        <v>-20391.387709963165</v>
      </c>
      <c r="H31" s="391">
        <f t="shared" si="0"/>
        <v>0</v>
      </c>
      <c r="I31" s="390">
        <f t="shared" si="0"/>
        <v>0</v>
      </c>
      <c r="J31" s="390">
        <f t="shared" si="0"/>
        <v>0</v>
      </c>
      <c r="K31" s="391">
        <f t="shared" si="0"/>
        <v>-20391.387709963194</v>
      </c>
      <c r="L31" s="391">
        <f t="shared" si="0"/>
        <v>-3058.7081564944747</v>
      </c>
      <c r="M31" s="390">
        <f t="shared" si="0"/>
        <v>0</v>
      </c>
      <c r="N31" s="391">
        <f t="shared" si="0"/>
        <v>-23450.095866457676</v>
      </c>
      <c r="O31" s="34"/>
    </row>
    <row r="32" spans="1:14" ht="14.25">
      <c r="A32" s="6"/>
      <c r="B32" s="6"/>
      <c r="C32" s="6"/>
      <c r="D32" s="6"/>
      <c r="E32" s="6"/>
      <c r="F32" s="6"/>
      <c r="G32" s="6"/>
      <c r="H32" s="6"/>
      <c r="I32" s="6"/>
      <c r="J32" s="6"/>
      <c r="K32" s="6"/>
      <c r="L32" s="6"/>
      <c r="M32" s="6"/>
      <c r="N32" s="6"/>
    </row>
    <row r="53" spans="6:14" ht="14.25">
      <c r="F53" s="253" t="s">
        <v>858</v>
      </c>
      <c r="G53" s="34"/>
      <c r="M53" s="253" t="s">
        <v>858</v>
      </c>
      <c r="N53" s="34"/>
    </row>
    <row r="54" spans="6:14" ht="14.25">
      <c r="F54" s="390">
        <f>'ｺｽﾄ表'!H49</f>
        <v>372916.97109433677</v>
      </c>
      <c r="G54" s="34"/>
      <c r="M54" s="390">
        <f>'ｺｽﾄ表'!K49</f>
        <v>349466.8752278791</v>
      </c>
      <c r="N54" s="34"/>
    </row>
    <row r="55" spans="6:13" ht="14.25">
      <c r="F55" s="6"/>
      <c r="M55" s="6"/>
    </row>
    <row r="56" spans="1:12" ht="14.25">
      <c r="A56" s="48"/>
      <c r="B56" s="253" t="s">
        <v>846</v>
      </c>
      <c r="C56" s="253" t="s">
        <v>847</v>
      </c>
      <c r="D56" s="253" t="s">
        <v>848</v>
      </c>
      <c r="E56" s="253" t="s">
        <v>849</v>
      </c>
      <c r="F56" s="253" t="s">
        <v>850</v>
      </c>
      <c r="G56" s="253" t="s">
        <v>852</v>
      </c>
      <c r="H56" s="253" t="s">
        <v>853</v>
      </c>
      <c r="I56" s="253" t="s">
        <v>854</v>
      </c>
      <c r="J56" s="253" t="s">
        <v>856</v>
      </c>
      <c r="K56" s="253" t="s">
        <v>857</v>
      </c>
      <c r="L56" s="34"/>
    </row>
    <row r="57" spans="1:12" ht="14.25">
      <c r="A57" s="39" t="str">
        <f>'ｺｽﾄ表'!F4</f>
        <v>方案歩留り５０％</v>
      </c>
      <c r="B57" s="392">
        <f>'ｺｽﾄ表'!J10</f>
        <v>14.531104023146376</v>
      </c>
      <c r="C57" s="392">
        <f>'ｺｽﾄ表'!J15</f>
        <v>9.849824437795943</v>
      </c>
      <c r="D57" s="392">
        <f>'ｺｽﾄ表'!J19</f>
        <v>7.6677699233926795</v>
      </c>
      <c r="E57" s="392">
        <f>'ｺｽﾄ表'!J24</f>
        <v>15.749644435501642</v>
      </c>
      <c r="F57" s="392">
        <f>'ｺｽﾄ表'!J31</f>
        <v>4.571561455737555</v>
      </c>
      <c r="G57" s="392">
        <f>'ｺｽﾄ表'!J41</f>
        <v>25.929341582519825</v>
      </c>
      <c r="H57" s="392">
        <f>'ｺｽﾄ表'!J44</f>
        <v>3.9996179829303156</v>
      </c>
      <c r="I57" s="392">
        <f>'ｺｽﾄ表'!J45</f>
        <v>2.6815620567373704</v>
      </c>
      <c r="J57" s="392">
        <f>'ｺｽﾄ表'!J47</f>
        <v>12.747063884664259</v>
      </c>
      <c r="K57" s="392">
        <f>'ｺｽﾄ表'!J48</f>
        <v>2.272510217574043</v>
      </c>
      <c r="L57" s="34"/>
    </row>
    <row r="58" spans="1:11" ht="14.25">
      <c r="A58" s="6"/>
      <c r="B58" s="6"/>
      <c r="C58" s="6"/>
      <c r="D58" s="6"/>
      <c r="E58" s="6"/>
      <c r="F58" s="6"/>
      <c r="G58" s="6"/>
      <c r="H58" s="6"/>
      <c r="I58" s="6"/>
      <c r="J58" s="6"/>
      <c r="K58" s="6"/>
    </row>
    <row r="59" spans="1:12" ht="14.25">
      <c r="A59" s="48"/>
      <c r="B59" s="253" t="s">
        <v>846</v>
      </c>
      <c r="C59" s="253" t="s">
        <v>847</v>
      </c>
      <c r="D59" s="253" t="s">
        <v>848</v>
      </c>
      <c r="E59" s="253" t="s">
        <v>849</v>
      </c>
      <c r="F59" s="253" t="s">
        <v>850</v>
      </c>
      <c r="G59" s="253" t="s">
        <v>852</v>
      </c>
      <c r="H59" s="253" t="s">
        <v>853</v>
      </c>
      <c r="I59" s="253" t="s">
        <v>854</v>
      </c>
      <c r="J59" s="253" t="s">
        <v>856</v>
      </c>
      <c r="K59" s="253" t="s">
        <v>857</v>
      </c>
      <c r="L59" s="34"/>
    </row>
    <row r="60" spans="1:12" ht="14.25">
      <c r="A60" s="39" t="str">
        <f>'ｺｽﾄ表'!G4</f>
        <v>方案歩留り６０％</v>
      </c>
      <c r="B60" s="392">
        <f>'ｺｽﾄ表'!M10</f>
        <v>15.09566603387852</v>
      </c>
      <c r="C60" s="392">
        <f>'ｺｽﾄ表'!M15</f>
        <v>8.758444630513083</v>
      </c>
      <c r="D60" s="392">
        <f>'ｺｽﾄ表'!M19</f>
        <v>8.125369220337454</v>
      </c>
      <c r="E60" s="392">
        <f>'ｺｽﾄ表'!M24</f>
        <v>14.004552924875593</v>
      </c>
      <c r="F60" s="392">
        <f>'ｺｽﾄ表'!M31</f>
        <v>4.065023475189249</v>
      </c>
      <c r="G60" s="392">
        <f>'ｺｽﾄ表'!M41</f>
        <v>27.66926484554075</v>
      </c>
      <c r="H60" s="392">
        <f>'ｺｽﾄ表'!M44</f>
        <v>4.268002289934418</v>
      </c>
      <c r="I60" s="392">
        <f>'ｺｽﾄ表'!M45</f>
        <v>2.8615015352969393</v>
      </c>
      <c r="J60" s="392">
        <f>'ｺｽﾄ表'!M47</f>
        <v>12.7271737433349</v>
      </c>
      <c r="K60" s="392">
        <f>'ｺｽﾄ表'!M48</f>
        <v>2.425001301099101</v>
      </c>
      <c r="L60" s="34"/>
    </row>
    <row r="61" spans="1:11" ht="14.25">
      <c r="A61" s="6"/>
      <c r="B61" s="6"/>
      <c r="C61" s="6"/>
      <c r="D61" s="6"/>
      <c r="E61" s="6"/>
      <c r="F61" s="6"/>
      <c r="G61" s="6"/>
      <c r="H61" s="6"/>
      <c r="I61" s="6"/>
      <c r="J61" s="6"/>
      <c r="K61" s="6"/>
    </row>
  </sheetData>
  <printOptions/>
  <pageMargins left="0.5" right="0.5861111111111111" top="0.7875" bottom="0.586111111111111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N61"/>
  <sheetViews>
    <sheetView showGridLines="0" showOutlineSymbols="0" zoomScale="87" zoomScaleNormal="87" workbookViewId="0" topLeftCell="A1">
      <selection activeCell="M25" sqref="M25"/>
    </sheetView>
  </sheetViews>
  <sheetFormatPr defaultColWidth="9.00390625" defaultRowHeight="14.25"/>
  <cols>
    <col min="1" max="1" width="13.125" style="0" customWidth="1"/>
    <col min="2" max="2" width="6.75390625" style="0" customWidth="1"/>
    <col min="3" max="3" width="8.125" style="0" customWidth="1"/>
    <col min="4" max="4" width="6.875" style="0" customWidth="1"/>
    <col min="5" max="5" width="8.375" style="0" customWidth="1"/>
    <col min="6" max="6" width="12.00390625" style="0" customWidth="1"/>
    <col min="7" max="7" width="7.75390625" style="0" customWidth="1"/>
    <col min="8" max="8" width="6.75390625" style="0" customWidth="1"/>
    <col min="9" max="9" width="8.25390625" style="0" customWidth="1"/>
    <col min="10" max="10" width="7.875" style="0" customWidth="1"/>
    <col min="11" max="11" width="7.75390625" style="0" customWidth="1"/>
    <col min="12" max="12" width="6.75390625" style="0" customWidth="1"/>
    <col min="13" max="13" width="11.625" style="0" customWidth="1"/>
    <col min="14" max="14" width="7.75390625" style="0" customWidth="1"/>
    <col min="15" max="16384" width="10.75390625" style="0" customWidth="1"/>
  </cols>
  <sheetData>
    <row r="1" spans="1:3" ht="15.75">
      <c r="A1" s="251">
        <v>36439</v>
      </c>
      <c r="C1" s="24" t="str">
        <f>'設定条件表'!F1</f>
        <v> </v>
      </c>
    </row>
    <row r="28" spans="1:14" ht="14.25">
      <c r="A28" s="48"/>
      <c r="B28" s="253" t="str">
        <f>'ｺｽﾄ表'!D7</f>
        <v>　主原料費</v>
      </c>
      <c r="C28" s="253" t="str">
        <f>'ｺｽﾄ表'!D8</f>
        <v>　成分調整費</v>
      </c>
      <c r="D28" s="253" t="str">
        <f>'ｺｽﾄ表'!D9</f>
        <v>　球状化費</v>
      </c>
      <c r="E28" s="253" t="str">
        <f>'ｺｽﾄ表'!D11</f>
        <v>　溶解電力費</v>
      </c>
      <c r="F28" s="253" t="str">
        <f>'ｺｽﾄ表'!D13</f>
        <v>　耐火物費</v>
      </c>
      <c r="G28" s="253" t="str">
        <f>'ｺｽﾄ表'!D14</f>
        <v>　溶解労務費</v>
      </c>
      <c r="H28" s="253" t="str">
        <f>'ｺｽﾄ表'!D17</f>
        <v>　砂</v>
      </c>
      <c r="I28" s="253" t="str">
        <f>'ｺｽﾄ表'!D18</f>
        <v>　中子＋塗型</v>
      </c>
      <c r="J28" s="253" t="s">
        <v>860</v>
      </c>
      <c r="K28" s="253" t="s">
        <v>850</v>
      </c>
      <c r="L28" s="66"/>
      <c r="M28" s="253" t="str">
        <f>'ｺｽﾄ表'!B32</f>
        <v>  直接製造原価合計</v>
      </c>
      <c r="N28" s="34"/>
    </row>
    <row r="29" spans="1:14" ht="14.25">
      <c r="A29" s="39" t="str">
        <f>'ｺｽﾄ表'!F4</f>
        <v>方案歩留り５０％</v>
      </c>
      <c r="B29" s="390">
        <f>'ｺｽﾄ表'!H7</f>
        <v>42328.39477846535</v>
      </c>
      <c r="C29" s="390">
        <f>'ｺｽﾄ表'!H8</f>
        <v>5682.621346652301</v>
      </c>
      <c r="D29" s="390">
        <f>'ｺｽﾄ表'!H9</f>
        <v>6177.93686456712</v>
      </c>
      <c r="E29" s="390">
        <f>'ｺｽﾄ表'!H11+'ｺｽﾄ表'!H12</f>
        <v>27197.1120176521</v>
      </c>
      <c r="F29" s="390">
        <f>'ｺｽﾄ表'!H13</f>
        <v>498.6938589631578</v>
      </c>
      <c r="G29" s="390">
        <f>'ｺｽﾄ表'!H14</f>
        <v>9035.861074923145</v>
      </c>
      <c r="H29" s="390">
        <f>'ｺｽﾄ表'!H17</f>
        <v>1193.2854052956918</v>
      </c>
      <c r="I29" s="390">
        <f>'ｺｽﾄ表'!H18</f>
        <v>27401.129943502827</v>
      </c>
      <c r="J29" s="390">
        <f>'ｺｽﾄ表'!H24</f>
        <v>58733.09698700046</v>
      </c>
      <c r="K29" s="390">
        <f>'ｺｽﾄ表'!H31</f>
        <v>17048.128512452655</v>
      </c>
      <c r="L29" s="66"/>
      <c r="M29" s="390">
        <f>'ｺｽﾄ表'!H32</f>
        <v>195296.26078947482</v>
      </c>
      <c r="N29" s="34"/>
    </row>
    <row r="30" spans="1:14" ht="14.25">
      <c r="A30" s="39" t="str">
        <f>'ｺｽﾄ表'!G4</f>
        <v>方案歩留り６０％</v>
      </c>
      <c r="B30" s="390">
        <f>'ｺｽﾄ表'!K7</f>
        <v>42413.46191085714</v>
      </c>
      <c r="C30" s="390">
        <f>'ｺｽﾄ表'!K8</f>
        <v>5192.923145927489</v>
      </c>
      <c r="D30" s="390">
        <f>'ｺｽﾄ表'!K9</f>
        <v>5147.967326646939</v>
      </c>
      <c r="E30" s="390">
        <f>'ｺｽﾄ表'!K11+'ｺｽﾄ表'!K12</f>
        <v>22662.883158989964</v>
      </c>
      <c r="F30" s="390">
        <f>'ｺｽﾄ表'!K13</f>
        <v>415.5529181054035</v>
      </c>
      <c r="G30" s="390">
        <f>'ｺｽﾄ表'!K14</f>
        <v>7529.426691722657</v>
      </c>
      <c r="H30" s="390">
        <f>'ｺｽﾄ表'!K17</f>
        <v>994.3439715383532</v>
      </c>
      <c r="I30" s="390">
        <f>'ｺｽﾄ表'!K18</f>
        <v>27401.129943502827</v>
      </c>
      <c r="J30" s="390">
        <f>'ｺｽﾄ表'!K24</f>
        <v>48941.27349619729</v>
      </c>
      <c r="K30" s="390">
        <f>'ｺｽﾄ表'!K31</f>
        <v>14205.910516023607</v>
      </c>
      <c r="L30" s="66"/>
      <c r="M30" s="390">
        <f>'ｺｽﾄ表'!K32</f>
        <v>174904.87307951166</v>
      </c>
      <c r="N30" s="34"/>
    </row>
    <row r="31" spans="1:14" ht="14.25">
      <c r="A31" s="39" t="s">
        <v>859</v>
      </c>
      <c r="B31" s="390">
        <f aca="true" t="shared" si="0" ref="B31:K31">B30-B29</f>
        <v>85.06713239179226</v>
      </c>
      <c r="C31" s="390">
        <f t="shared" si="0"/>
        <v>-489.6982007248125</v>
      </c>
      <c r="D31" s="390">
        <f t="shared" si="0"/>
        <v>-1029.9695379201812</v>
      </c>
      <c r="E31" s="390">
        <f t="shared" si="0"/>
        <v>-4534.228858662136</v>
      </c>
      <c r="F31" s="390">
        <f t="shared" si="0"/>
        <v>-83.14094085775434</v>
      </c>
      <c r="G31" s="390">
        <f t="shared" si="0"/>
        <v>-1506.434383200488</v>
      </c>
      <c r="H31" s="390">
        <f t="shared" si="0"/>
        <v>-198.9414337573386</v>
      </c>
      <c r="I31" s="390">
        <f t="shared" si="0"/>
        <v>0</v>
      </c>
      <c r="J31" s="390">
        <f t="shared" si="0"/>
        <v>-9791.823490803174</v>
      </c>
      <c r="K31" s="390">
        <f t="shared" si="0"/>
        <v>-2842.217996429048</v>
      </c>
      <c r="L31" s="66"/>
      <c r="M31" s="390">
        <f>M30-M29</f>
        <v>-20391.387709963165</v>
      </c>
      <c r="N31" s="34"/>
    </row>
    <row r="32" spans="1:13" ht="14.25">
      <c r="A32" s="6"/>
      <c r="B32" s="6"/>
      <c r="C32" s="6"/>
      <c r="D32" s="6"/>
      <c r="E32" s="6"/>
      <c r="F32" s="6"/>
      <c r="G32" s="6"/>
      <c r="H32" s="6"/>
      <c r="I32" s="6"/>
      <c r="J32" s="6"/>
      <c r="K32" s="6"/>
      <c r="M32" s="33"/>
    </row>
    <row r="53" spans="6:14" ht="14.25">
      <c r="F53" s="253" t="str">
        <f>M28</f>
        <v>  直接製造原価合計</v>
      </c>
      <c r="G53" s="34"/>
      <c r="M53" s="253" t="str">
        <f>F53</f>
        <v>  直接製造原価合計</v>
      </c>
      <c r="N53" s="34"/>
    </row>
    <row r="54" spans="6:14" ht="14.25">
      <c r="F54" s="390">
        <f>M29</f>
        <v>195296.26078947482</v>
      </c>
      <c r="G54" s="34"/>
      <c r="M54" s="390">
        <f>M30</f>
        <v>174904.87307951166</v>
      </c>
      <c r="N54" s="34"/>
    </row>
    <row r="55" spans="6:13" ht="14.25">
      <c r="F55" s="6"/>
      <c r="M55" s="6"/>
    </row>
    <row r="56" spans="1:12" ht="14.25">
      <c r="A56" s="48"/>
      <c r="B56" s="253" t="str">
        <f aca="true" t="shared" si="1" ref="B56:K56">B28</f>
        <v>　主原料費</v>
      </c>
      <c r="C56" s="253" t="str">
        <f t="shared" si="1"/>
        <v>　成分調整費</v>
      </c>
      <c r="D56" s="253" t="str">
        <f t="shared" si="1"/>
        <v>　球状化費</v>
      </c>
      <c r="E56" s="253" t="str">
        <f t="shared" si="1"/>
        <v>　溶解電力費</v>
      </c>
      <c r="F56" s="253" t="str">
        <f t="shared" si="1"/>
        <v>　耐火物費</v>
      </c>
      <c r="G56" s="253" t="str">
        <f t="shared" si="1"/>
        <v>　溶解労務費</v>
      </c>
      <c r="H56" s="253" t="str">
        <f t="shared" si="1"/>
        <v>　砂</v>
      </c>
      <c r="I56" s="253" t="str">
        <f t="shared" si="1"/>
        <v>　中子＋塗型</v>
      </c>
      <c r="J56" s="253" t="str">
        <f t="shared" si="1"/>
        <v>鋳造労務費</v>
      </c>
      <c r="K56" s="253" t="str">
        <f t="shared" si="1"/>
        <v>仕上げ経費</v>
      </c>
      <c r="L56" s="34"/>
    </row>
    <row r="57" spans="1:12" ht="14.25">
      <c r="A57" s="39" t="str">
        <f>A29</f>
        <v>方案歩留り５０％</v>
      </c>
      <c r="B57" s="392">
        <f>B29/F54*100</f>
        <v>21.673940201084775</v>
      </c>
      <c r="C57" s="392">
        <f>C29/F54*100</f>
        <v>2.90974405945132</v>
      </c>
      <c r="D57" s="392">
        <f>D29/F54*100</f>
        <v>3.163366692016087</v>
      </c>
      <c r="E57" s="392">
        <f>E29/F54*100</f>
        <v>13.926079233524089</v>
      </c>
      <c r="F57" s="392">
        <f>F29/F54*100</f>
        <v>0.2553524870098456</v>
      </c>
      <c r="G57" s="392">
        <f>G29/F54*100</f>
        <v>4.6267455600000496</v>
      </c>
      <c r="H57" s="392">
        <f>H29/F54*100</f>
        <v>0.6110129300335289</v>
      </c>
      <c r="I57" s="392">
        <f>I29/F54*100</f>
        <v>14.030545097348615</v>
      </c>
      <c r="J57" s="392">
        <f>J29/F54*100</f>
        <v>30.073846140000338</v>
      </c>
      <c r="K57" s="392">
        <f>K29/F54*100</f>
        <v>8.729367599531345</v>
      </c>
      <c r="L57" s="66"/>
    </row>
    <row r="58" spans="1:11" ht="14.25">
      <c r="A58" s="6"/>
      <c r="B58" s="6"/>
      <c r="C58" s="6"/>
      <c r="D58" s="6"/>
      <c r="E58" s="6"/>
      <c r="F58" s="6"/>
      <c r="G58" s="6"/>
      <c r="H58" s="6"/>
      <c r="I58" s="6"/>
      <c r="J58" s="6"/>
      <c r="K58" s="6"/>
    </row>
    <row r="59" spans="1:12" ht="14.25">
      <c r="A59" s="48"/>
      <c r="B59" s="253" t="str">
        <f aca="true" t="shared" si="2" ref="B59:K59">B56</f>
        <v>　主原料費</v>
      </c>
      <c r="C59" s="253" t="str">
        <f t="shared" si="2"/>
        <v>　成分調整費</v>
      </c>
      <c r="D59" s="253" t="str">
        <f t="shared" si="2"/>
        <v>　球状化費</v>
      </c>
      <c r="E59" s="253" t="str">
        <f t="shared" si="2"/>
        <v>　溶解電力費</v>
      </c>
      <c r="F59" s="253" t="str">
        <f t="shared" si="2"/>
        <v>　耐火物費</v>
      </c>
      <c r="G59" s="253" t="str">
        <f t="shared" si="2"/>
        <v>　溶解労務費</v>
      </c>
      <c r="H59" s="253" t="str">
        <f t="shared" si="2"/>
        <v>　砂</v>
      </c>
      <c r="I59" s="253" t="str">
        <f t="shared" si="2"/>
        <v>　中子＋塗型</v>
      </c>
      <c r="J59" s="253" t="str">
        <f t="shared" si="2"/>
        <v>鋳造労務費</v>
      </c>
      <c r="K59" s="253" t="str">
        <f t="shared" si="2"/>
        <v>仕上げ経費</v>
      </c>
      <c r="L59" s="34"/>
    </row>
    <row r="60" spans="1:12" ht="14.25">
      <c r="A60" s="39" t="str">
        <f>A30</f>
        <v>方案歩留り６０％</v>
      </c>
      <c r="B60" s="392">
        <f>B30/M54*100</f>
        <v>24.249445520923825</v>
      </c>
      <c r="C60" s="392">
        <f>C30/M54*100</f>
        <v>2.968998550181497</v>
      </c>
      <c r="D60" s="392">
        <f>D30/M54*100</f>
        <v>2.943295538887974</v>
      </c>
      <c r="E60" s="392">
        <f>E30/M54*100</f>
        <v>12.957262287762234</v>
      </c>
      <c r="F60" s="392">
        <f>F30/M54*100</f>
        <v>0.23758795897956103</v>
      </c>
      <c r="G60" s="392">
        <f>G30/M54*100</f>
        <v>4.304869589482383</v>
      </c>
      <c r="H60" s="392">
        <f>H30/M54*100</f>
        <v>0.5685055847965568</v>
      </c>
      <c r="I60" s="392">
        <f>I30/M54*100</f>
        <v>15.666304466569258</v>
      </c>
      <c r="J60" s="392">
        <f>J30/M54*100</f>
        <v>27.981652331635505</v>
      </c>
      <c r="K60" s="392">
        <f>K30/M54*100</f>
        <v>8.122078170781215</v>
      </c>
      <c r="L60" s="34"/>
    </row>
    <row r="61" spans="1:11" ht="14.25">
      <c r="A61" s="6"/>
      <c r="B61" s="6"/>
      <c r="C61" s="6"/>
      <c r="D61" s="6"/>
      <c r="E61" s="6"/>
      <c r="F61" s="6"/>
      <c r="G61" s="6"/>
      <c r="H61" s="6"/>
      <c r="I61" s="6"/>
      <c r="J61" s="6"/>
      <c r="K61" s="6"/>
    </row>
  </sheetData>
  <printOptions/>
  <pageMargins left="0.5" right="0.5861111111111111" top="0.7875" bottom="0.586111111111111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I20"/>
  <sheetViews>
    <sheetView showGridLines="0" showOutlineSymbols="0" workbookViewId="0" topLeftCell="A1">
      <selection activeCell="D13" sqref="D13"/>
    </sheetView>
  </sheetViews>
  <sheetFormatPr defaultColWidth="9.00390625" defaultRowHeight="14.25"/>
  <cols>
    <col min="1" max="1" width="10.75390625" style="0" customWidth="1"/>
    <col min="2" max="2" width="24.625" style="0" customWidth="1"/>
    <col min="3" max="4" width="15.25390625" style="0" customWidth="1"/>
    <col min="5" max="5" width="10.75390625" style="0" customWidth="1"/>
    <col min="6" max="6" width="13.75390625" style="0" customWidth="1"/>
    <col min="7" max="8" width="5.75390625" style="0" customWidth="1"/>
    <col min="9" max="9" width="4.75390625" style="0" customWidth="1"/>
    <col min="10" max="16384" width="10.75390625" style="0" customWidth="1"/>
  </cols>
  <sheetData>
    <row r="2" ht="21">
      <c r="B2" s="89" t="s">
        <v>79</v>
      </c>
    </row>
    <row r="4" spans="3:4" ht="14.25">
      <c r="C4" s="27" t="s">
        <v>80</v>
      </c>
      <c r="D4" s="66" t="s">
        <v>81</v>
      </c>
    </row>
    <row r="5" ht="14.25">
      <c r="C5" s="6"/>
    </row>
    <row r="6" ht="15.75">
      <c r="B6" s="24" t="s">
        <v>82</v>
      </c>
    </row>
    <row r="7" ht="14.25">
      <c r="F7" s="90" t="s">
        <v>83</v>
      </c>
    </row>
    <row r="8" spans="2:6" ht="18.75" customHeight="1">
      <c r="B8" s="425"/>
      <c r="C8" s="406" t="str">
        <f>'配合'!L11</f>
        <v>方案歩留り５０％</v>
      </c>
      <c r="D8" s="406" t="str">
        <f>'配合'!M11</f>
        <v>方案歩留り６０％</v>
      </c>
      <c r="E8" s="34"/>
      <c r="F8" t="s">
        <v>84</v>
      </c>
    </row>
    <row r="9" spans="2:9" ht="18" customHeight="1">
      <c r="B9" s="406" t="s">
        <v>85</v>
      </c>
      <c r="C9" s="539">
        <v>5.9</v>
      </c>
      <c r="D9" s="539">
        <v>5.9</v>
      </c>
      <c r="E9" s="66"/>
      <c r="F9" s="406" t="s">
        <v>86</v>
      </c>
      <c r="G9" s="539">
        <v>5.9</v>
      </c>
      <c r="H9" s="91" t="s">
        <v>87</v>
      </c>
      <c r="I9" s="34"/>
    </row>
    <row r="10" spans="2:9" ht="18" customHeight="1">
      <c r="B10" s="406" t="s">
        <v>88</v>
      </c>
      <c r="C10" s="539">
        <v>6</v>
      </c>
      <c r="D10" s="539">
        <v>6</v>
      </c>
      <c r="E10" s="34"/>
      <c r="F10" s="406" t="s">
        <v>89</v>
      </c>
      <c r="G10" s="539">
        <v>6</v>
      </c>
      <c r="H10" s="91" t="s">
        <v>90</v>
      </c>
      <c r="I10" s="34"/>
    </row>
    <row r="11" spans="2:9" ht="18" customHeight="1">
      <c r="B11" s="406" t="s">
        <v>91</v>
      </c>
      <c r="C11" s="539">
        <v>70.8</v>
      </c>
      <c r="D11" s="539">
        <v>59</v>
      </c>
      <c r="E11" s="34"/>
      <c r="F11" s="406" t="s">
        <v>92</v>
      </c>
      <c r="G11" s="539">
        <v>60</v>
      </c>
      <c r="H11" s="91" t="s">
        <v>93</v>
      </c>
      <c r="I11" s="34"/>
    </row>
    <row r="12" spans="2:9" ht="19.5" customHeight="1">
      <c r="B12" s="406" t="s">
        <v>94</v>
      </c>
      <c r="C12" s="92">
        <f>C9*C10/C11*100</f>
        <v>50.000000000000014</v>
      </c>
      <c r="D12" s="92">
        <f>D9*D10/D11*100</f>
        <v>60.00000000000001</v>
      </c>
      <c r="E12" s="34"/>
      <c r="F12" s="406" t="s">
        <v>95</v>
      </c>
      <c r="G12" s="92">
        <f>G9*G10/G11*100</f>
        <v>59.00000000000001</v>
      </c>
      <c r="H12" s="91" t="s">
        <v>96</v>
      </c>
      <c r="I12" s="34"/>
    </row>
    <row r="13" spans="2:8" ht="14.25">
      <c r="B13" s="6"/>
      <c r="C13" s="6"/>
      <c r="D13" s="6"/>
      <c r="F13" s="6"/>
      <c r="G13" s="6"/>
      <c r="H13" s="6"/>
    </row>
    <row r="14" ht="15.75">
      <c r="B14" s="93" t="s">
        <v>97</v>
      </c>
    </row>
    <row r="15" ht="14.25">
      <c r="G15" s="94" t="s">
        <v>98</v>
      </c>
    </row>
    <row r="16" spans="2:8" ht="14.25">
      <c r="B16" s="88" t="s">
        <v>99</v>
      </c>
      <c r="G16">
        <f>C12/D12*100</f>
        <v>83.33333333333334</v>
      </c>
      <c r="H16" s="88" t="s">
        <v>100</v>
      </c>
    </row>
    <row r="17" spans="3:8" ht="14.25">
      <c r="C17" s="88" t="s">
        <v>101</v>
      </c>
      <c r="G17">
        <f>D12/C12*100</f>
        <v>119.99999999999997</v>
      </c>
      <c r="H17" s="88" t="s">
        <v>102</v>
      </c>
    </row>
    <row r="19" ht="14.25">
      <c r="B19" t="s">
        <v>103</v>
      </c>
    </row>
    <row r="20" ht="14.25">
      <c r="B20" s="88" t="s">
        <v>104</v>
      </c>
    </row>
  </sheetData>
  <sheetProtection sheet="1" objects="1" scenarios="1"/>
  <printOptions/>
  <pageMargins left="0.5" right="0.5861111111111111" top="0.7875" bottom="0.586111111111111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70"/>
  <sheetViews>
    <sheetView showGridLines="0" showOutlineSymbols="0" zoomScale="110" zoomScaleNormal="110" workbookViewId="0" topLeftCell="A1">
      <selection activeCell="Z7" sqref="Z7"/>
    </sheetView>
  </sheetViews>
  <sheetFormatPr defaultColWidth="9.00390625" defaultRowHeight="14.25"/>
  <cols>
    <col min="1" max="1" width="3.75390625" style="0" customWidth="1"/>
    <col min="2" max="2" width="23.50390625" style="0" customWidth="1"/>
    <col min="3" max="4" width="10.75390625" style="0" customWidth="1"/>
    <col min="5" max="5" width="1.75390625" style="0" customWidth="1"/>
    <col min="6" max="6" width="9.75390625" style="0" customWidth="1"/>
    <col min="7" max="7" width="13.875" style="0" customWidth="1"/>
    <col min="8" max="10" width="8.75390625" style="0" customWidth="1"/>
    <col min="11" max="11" width="13.25390625" style="0" customWidth="1"/>
    <col min="12" max="12" width="9.75390625" style="0" customWidth="1"/>
    <col min="13" max="14" width="10.75390625" style="0" customWidth="1"/>
    <col min="15" max="15" width="11.375" style="0" customWidth="1"/>
    <col min="16" max="17" width="10.875" style="0" customWidth="1"/>
    <col min="18" max="19" width="13.125" style="0" customWidth="1"/>
    <col min="20" max="24" width="10.75390625" style="0" customWidth="1"/>
    <col min="25" max="25" width="11.375" style="0" customWidth="1"/>
    <col min="26" max="16384" width="10.75390625" style="0" customWidth="1"/>
  </cols>
  <sheetData>
    <row r="1" spans="2:5" ht="21">
      <c r="B1" s="89" t="s">
        <v>105</v>
      </c>
      <c r="C1" s="95"/>
      <c r="D1" s="96"/>
      <c r="E1" s="96"/>
    </row>
    <row r="2" spans="3:8" ht="14.25">
      <c r="C2" s="7" t="s">
        <v>0</v>
      </c>
      <c r="D2" t="s">
        <v>1</v>
      </c>
      <c r="G2" s="410" t="s">
        <v>2</v>
      </c>
      <c r="H2" t="s">
        <v>3</v>
      </c>
    </row>
    <row r="3" spans="2:7" ht="16.5" thickBot="1">
      <c r="B3" s="24" t="s">
        <v>106</v>
      </c>
      <c r="F3" s="90" t="s">
        <v>107</v>
      </c>
      <c r="G3" s="96"/>
    </row>
    <row r="4" spans="2:25" ht="15" thickBot="1" thickTop="1">
      <c r="B4" s="399"/>
      <c r="C4" s="493" t="str">
        <f>'配合'!L11</f>
        <v>方案歩留り５０％</v>
      </c>
      <c r="D4" s="493" t="str">
        <f>'配合'!M11</f>
        <v>方案歩留り６０％</v>
      </c>
      <c r="E4" s="15"/>
      <c r="F4" s="399" t="s">
        <v>108</v>
      </c>
      <c r="G4" s="402"/>
      <c r="H4" s="535">
        <v>22</v>
      </c>
      <c r="I4" s="406"/>
      <c r="J4" s="406" t="s">
        <v>109</v>
      </c>
      <c r="K4" s="459" t="s">
        <v>110</v>
      </c>
      <c r="L4" s="34"/>
      <c r="Y4" t="s">
        <v>111</v>
      </c>
    </row>
    <row r="5" spans="2:28" ht="15" thickTop="1">
      <c r="B5" s="399" t="s">
        <v>112</v>
      </c>
      <c r="C5" s="530">
        <v>599.542</v>
      </c>
      <c r="D5" s="530">
        <v>719.494</v>
      </c>
      <c r="E5" s="15"/>
      <c r="F5" s="400" t="s">
        <v>113</v>
      </c>
      <c r="G5" s="427"/>
      <c r="H5" s="539">
        <v>8</v>
      </c>
      <c r="I5" s="406" t="s">
        <v>114</v>
      </c>
      <c r="J5" s="539">
        <v>2.345</v>
      </c>
      <c r="K5" s="98">
        <f>H6*J5</f>
        <v>17.587500000000002</v>
      </c>
      <c r="L5" s="34"/>
      <c r="Y5" s="29"/>
      <c r="Z5" s="147" t="str">
        <f>Z16</f>
        <v>方案歩留り５０％</v>
      </c>
      <c r="AA5" s="147" t="str">
        <f>AA16</f>
        <v>方案歩留り６０％</v>
      </c>
      <c r="AB5" s="34"/>
    </row>
    <row r="6" spans="2:28" ht="14.25">
      <c r="B6" s="400" t="s">
        <v>115</v>
      </c>
      <c r="C6" s="539">
        <v>50</v>
      </c>
      <c r="D6" s="539">
        <v>50</v>
      </c>
      <c r="E6" s="15"/>
      <c r="F6" s="400" t="s">
        <v>116</v>
      </c>
      <c r="G6" s="423"/>
      <c r="H6" s="539">
        <v>7.5</v>
      </c>
      <c r="I6" s="406" t="s">
        <v>117</v>
      </c>
      <c r="J6" s="539">
        <v>2</v>
      </c>
      <c r="K6" s="99"/>
      <c r="L6" s="34"/>
      <c r="Y6" s="26" t="s">
        <v>118</v>
      </c>
      <c r="Z6" s="21">
        <f>((C16-H4)*H5/H4)</f>
        <v>1.1066428918773205E-05</v>
      </c>
      <c r="AA6" s="21">
        <f>((D16-H4)*H5/H4)</f>
        <v>8.863496409555244E-06</v>
      </c>
      <c r="AB6" s="66" t="s">
        <v>119</v>
      </c>
    </row>
    <row r="7" spans="2:28" ht="14.25">
      <c r="B7" s="492" t="s">
        <v>120</v>
      </c>
      <c r="C7" s="543">
        <v>5</v>
      </c>
      <c r="D7" s="539">
        <v>5</v>
      </c>
      <c r="E7" s="15"/>
      <c r="F7" s="400" t="s">
        <v>121</v>
      </c>
      <c r="G7" s="427"/>
      <c r="H7" s="539">
        <v>3</v>
      </c>
      <c r="I7" s="406" t="s">
        <v>122</v>
      </c>
      <c r="J7" s="539">
        <v>1</v>
      </c>
      <c r="K7" s="99"/>
      <c r="L7" s="34"/>
      <c r="Y7" s="26" t="s">
        <v>123</v>
      </c>
      <c r="Z7" s="21">
        <f>IF(Z7&gt;H7,H7,Z6)</f>
        <v>1.1066428918773205E-05</v>
      </c>
      <c r="AA7" s="21">
        <f>IF(AA6&gt;H7,H7,AA6)</f>
        <v>8.863496409555244E-06</v>
      </c>
      <c r="AB7" s="66" t="s">
        <v>119</v>
      </c>
    </row>
    <row r="8" spans="2:28" ht="15" thickBot="1">
      <c r="B8" s="400" t="s">
        <v>124</v>
      </c>
      <c r="C8" s="412">
        <f>100-P24-'配合'!AI23</f>
        <v>99.67558542334795</v>
      </c>
      <c r="D8" s="412">
        <f>100-Q24-'配合'!AJ23</f>
        <v>99.6816533936863</v>
      </c>
      <c r="E8" s="15"/>
      <c r="F8" s="400" t="s">
        <v>125</v>
      </c>
      <c r="G8" s="427"/>
      <c r="H8" s="539">
        <v>1</v>
      </c>
      <c r="I8" s="100"/>
      <c r="J8" s="6"/>
      <c r="K8" s="6"/>
      <c r="Y8" s="542" t="s">
        <v>885</v>
      </c>
      <c r="Z8" s="21">
        <f>(Z6-H7)*H4/H5</f>
        <v>-8.249969567320473</v>
      </c>
      <c r="AA8" s="21">
        <f>(AA6-H7)*H4/H5</f>
        <v>-8.249975625384874</v>
      </c>
      <c r="AB8" s="101" t="s">
        <v>126</v>
      </c>
    </row>
    <row r="9" spans="2:27" ht="15" thickBot="1" thickTop="1">
      <c r="B9" s="400" t="s">
        <v>127</v>
      </c>
      <c r="C9" s="422">
        <f>'方案歩留り設定'!C12</f>
        <v>50.000000000000014</v>
      </c>
      <c r="D9" s="422">
        <f>'方案歩留り設定'!D12</f>
        <v>60.00000000000001</v>
      </c>
      <c r="E9" s="34"/>
      <c r="F9" s="22"/>
      <c r="G9" s="22"/>
      <c r="H9" s="22"/>
      <c r="I9" s="8" t="s">
        <v>128</v>
      </c>
      <c r="J9" s="9"/>
      <c r="Y9" s="6"/>
      <c r="Z9" s="6"/>
      <c r="AA9" s="6"/>
    </row>
    <row r="10" spans="2:20" ht="15" thickBot="1" thickTop="1">
      <c r="B10" s="400" t="s">
        <v>129</v>
      </c>
      <c r="C10" s="539">
        <v>5</v>
      </c>
      <c r="D10" s="539">
        <v>5</v>
      </c>
      <c r="E10" s="15"/>
      <c r="I10" s="102" t="s">
        <v>7</v>
      </c>
      <c r="J10" s="12">
        <f>'配合'!N4</f>
        <v>-7558.404788973581</v>
      </c>
      <c r="K10" s="13"/>
      <c r="R10" s="26" t="s">
        <v>130</v>
      </c>
      <c r="S10" s="103">
        <f>(10*10)*2+(H13/10*4)</f>
        <v>200.4</v>
      </c>
      <c r="T10" s="101" t="s">
        <v>131</v>
      </c>
    </row>
    <row r="11" spans="2:20" ht="15" customHeight="1" thickBot="1" thickTop="1">
      <c r="B11" s="22"/>
      <c r="C11" s="22"/>
      <c r="D11" s="22"/>
      <c r="I11" s="102" t="s">
        <v>13</v>
      </c>
      <c r="J11" s="12">
        <f>'配合'!N5</f>
        <v>-20391.387709963165</v>
      </c>
      <c r="K11" s="13"/>
      <c r="R11" s="76" t="s">
        <v>132</v>
      </c>
      <c r="S11" s="98">
        <f>10*10*H13/10*7</f>
        <v>70</v>
      </c>
      <c r="T11" s="66" t="s">
        <v>133</v>
      </c>
    </row>
    <row r="12" spans="2:19" ht="15" thickBot="1" thickTop="1">
      <c r="B12" s="88" t="s">
        <v>134</v>
      </c>
      <c r="C12" t="s">
        <v>135</v>
      </c>
      <c r="F12" s="90" t="s">
        <v>136</v>
      </c>
      <c r="G12" s="96"/>
      <c r="H12" s="96"/>
      <c r="I12" s="18"/>
      <c r="J12" s="18"/>
      <c r="R12" s="33" t="s">
        <v>137</v>
      </c>
      <c r="S12" s="6"/>
    </row>
    <row r="13" spans="2:18" ht="15" thickBot="1" thickTop="1">
      <c r="B13" s="394"/>
      <c r="C13" s="493" t="str">
        <f>'配合'!L11</f>
        <v>方案歩留り５０％</v>
      </c>
      <c r="D13" s="493" t="str">
        <f>'配合'!M11</f>
        <v>方案歩留り６０％</v>
      </c>
      <c r="E13" s="15"/>
      <c r="F13" s="494" t="s">
        <v>138</v>
      </c>
      <c r="G13" s="495"/>
      <c r="H13" s="535">
        <v>1</v>
      </c>
      <c r="I13" s="28"/>
      <c r="R13" t="s">
        <v>139</v>
      </c>
    </row>
    <row r="14" spans="2:25" ht="15" thickTop="1">
      <c r="B14" s="399" t="s">
        <v>140</v>
      </c>
      <c r="C14" s="411">
        <f>((('配合'!M9-'配合'!L12)/(C6+C7)*60)/1000)*H8</f>
        <v>3.272727272727273</v>
      </c>
      <c r="D14" s="411">
        <f>((('配合'!M9-'配合'!M12)/(D6+D7)*60)/1000)*H8</f>
        <v>3.272727272727273</v>
      </c>
      <c r="E14" s="15"/>
      <c r="F14" s="492" t="s">
        <v>141</v>
      </c>
      <c r="G14" s="496"/>
      <c r="H14" s="539">
        <v>10</v>
      </c>
      <c r="I14" s="28"/>
      <c r="N14" s="425"/>
      <c r="O14" s="427"/>
      <c r="P14" s="406" t="s">
        <v>142</v>
      </c>
      <c r="Q14" s="425"/>
      <c r="R14" s="498" t="s">
        <v>877</v>
      </c>
      <c r="S14" s="406" t="s">
        <v>143</v>
      </c>
      <c r="T14" s="34"/>
      <c r="Y14" t="s">
        <v>111</v>
      </c>
    </row>
    <row r="15" spans="2:25" ht="14.25">
      <c r="B15" s="400" t="s">
        <v>144</v>
      </c>
      <c r="C15" s="412">
        <f>C5/((C8/100)*(C9/100)*(1-C10/100))</f>
        <v>1266.3017516773677</v>
      </c>
      <c r="D15" s="412">
        <f>D5/((D8/100)*(D9/100)*(1-D10/100))</f>
        <v>1266.3014029806882</v>
      </c>
      <c r="E15" s="15"/>
      <c r="F15" s="492" t="s">
        <v>145</v>
      </c>
      <c r="G15" s="497"/>
      <c r="H15" s="539">
        <v>20</v>
      </c>
      <c r="I15" s="104" t="s">
        <v>146</v>
      </c>
      <c r="N15" s="428"/>
      <c r="O15" s="393"/>
      <c r="P15" s="471" t="str">
        <f>C13</f>
        <v>方案歩留り５０％</v>
      </c>
      <c r="Q15" s="471" t="str">
        <f>D13</f>
        <v>方案歩留り６０％</v>
      </c>
      <c r="R15" s="429" t="s">
        <v>147</v>
      </c>
      <c r="S15" s="429" t="s">
        <v>148</v>
      </c>
      <c r="T15" s="34"/>
      <c r="Y15" t="s">
        <v>149</v>
      </c>
    </row>
    <row r="16" spans="2:28" ht="14.25">
      <c r="B16" s="400" t="s">
        <v>150</v>
      </c>
      <c r="C16" s="92">
        <f>C15/(K5*C14)</f>
        <v>22.000030432679527</v>
      </c>
      <c r="D16" s="92">
        <f>D15/(K5*D14)</f>
        <v>22.000024374615126</v>
      </c>
      <c r="E16" s="15"/>
      <c r="F16" s="492" t="s">
        <v>151</v>
      </c>
      <c r="G16" s="496"/>
      <c r="H16" s="412">
        <f>S16</f>
        <v>14314.285714285716</v>
      </c>
      <c r="I16" s="104" t="s">
        <v>152</v>
      </c>
      <c r="N16" s="425"/>
      <c r="O16" s="423" t="str">
        <f>'配合'!B16</f>
        <v>鋼スクラップ</v>
      </c>
      <c r="P16" s="83">
        <f>'配合'!L16*R16/5</f>
        <v>0.14028000000000002</v>
      </c>
      <c r="Q16" s="83">
        <f>'配合'!M16*R16/5</f>
        <v>0.14028000000000002</v>
      </c>
      <c r="R16" s="105">
        <f>S16*H14/1000/10*7/1000</f>
        <v>0.10020000000000001</v>
      </c>
      <c r="S16" s="103">
        <f>5000/S11*S10</f>
        <v>14314.285714285716</v>
      </c>
      <c r="T16" s="66"/>
      <c r="Y16" s="29"/>
      <c r="Z16" s="147" t="str">
        <f>C13</f>
        <v>方案歩留り５０％</v>
      </c>
      <c r="AA16" s="147" t="str">
        <f>D13</f>
        <v>方案歩留り６０％</v>
      </c>
      <c r="AB16" s="34"/>
    </row>
    <row r="17" spans="2:28" ht="14.25">
      <c r="B17" s="400" t="s">
        <v>153</v>
      </c>
      <c r="C17" s="431">
        <f>Z7</f>
        <v>1.1066428918773205E-05</v>
      </c>
      <c r="D17" s="431">
        <f>AA7</f>
        <v>8.863496409555244E-06</v>
      </c>
      <c r="E17" s="15"/>
      <c r="F17" s="400" t="str">
        <f>O16</f>
        <v>鋼スクラップ</v>
      </c>
      <c r="G17" s="423" t="s">
        <v>154</v>
      </c>
      <c r="H17" s="412">
        <f>R16/5*100</f>
        <v>2.0040000000000004</v>
      </c>
      <c r="I17" s="28"/>
      <c r="N17" s="425"/>
      <c r="O17" s="427"/>
      <c r="P17" s="83"/>
      <c r="Q17" s="83"/>
      <c r="R17" s="105"/>
      <c r="S17" s="98"/>
      <c r="T17" s="66"/>
      <c r="Y17" s="26" t="s">
        <v>155</v>
      </c>
      <c r="Z17" s="21">
        <f>C15*C8/100*((100-C9)/100)</f>
        <v>631.0968421052628</v>
      </c>
      <c r="AA17" s="21">
        <f>D15*D8/100*((100-D9)/100)</f>
        <v>504.90807017543847</v>
      </c>
      <c r="AB17" s="34"/>
    </row>
    <row r="18" spans="2:28" ht="15" thickBot="1">
      <c r="B18" s="400" t="s">
        <v>156</v>
      </c>
      <c r="C18" s="412">
        <f>IF(Z8&gt;0,Z8,0)</f>
        <v>0</v>
      </c>
      <c r="D18" s="412">
        <f>IF(AA8&gt;0,AA8,0)</f>
        <v>0</v>
      </c>
      <c r="E18" s="28"/>
      <c r="F18" s="400" t="str">
        <f>O18</f>
        <v>銑鉄Ｂ</v>
      </c>
      <c r="G18" s="423" t="s">
        <v>154</v>
      </c>
      <c r="H18" s="412">
        <f>R18/5*100</f>
        <v>0.0793625</v>
      </c>
      <c r="I18" s="28"/>
      <c r="N18" s="425"/>
      <c r="O18" s="423" t="str">
        <f>'配合'!B15</f>
        <v>銑鉄Ｂ</v>
      </c>
      <c r="P18" s="83">
        <f>'配合'!L15*R18/5</f>
        <v>0</v>
      </c>
      <c r="Q18" s="83">
        <f>'配合'!M15*R18/5</f>
        <v>0</v>
      </c>
      <c r="R18" s="105">
        <f>S18*H14/1000/10/1000*7</f>
        <v>0.003968125</v>
      </c>
      <c r="S18" s="103">
        <f>(21.25*5*2)+(21.25*6.75*2)+(5*6.75*2)</f>
        <v>566.875</v>
      </c>
      <c r="T18" s="66"/>
      <c r="Y18" s="26" t="s">
        <v>157</v>
      </c>
      <c r="Z18" s="21">
        <f>C15*C8/100*C9/100*C10/100</f>
        <v>31.55484210526316</v>
      </c>
      <c r="AA18" s="21">
        <f>D15*D8/100*D9/100*D10/100</f>
        <v>37.8681052631579</v>
      </c>
      <c r="AB18" s="34"/>
    </row>
    <row r="19" spans="2:28" ht="15" thickTop="1">
      <c r="B19" s="400" t="s">
        <v>158</v>
      </c>
      <c r="C19" s="412">
        <f>Z19</f>
        <v>662.6516842105259</v>
      </c>
      <c r="D19" s="412">
        <f>AA19</f>
        <v>542.7761754385964</v>
      </c>
      <c r="E19" s="28" t="s">
        <v>159</v>
      </c>
      <c r="F19" s="400" t="str">
        <f>O19</f>
        <v>戻　り　材</v>
      </c>
      <c r="G19" s="423" t="s">
        <v>154</v>
      </c>
      <c r="H19" s="412">
        <f>R19/5*100</f>
        <v>0.158725</v>
      </c>
      <c r="I19" s="28"/>
      <c r="N19" s="425"/>
      <c r="O19" s="423" t="str">
        <f>'配合'!B17</f>
        <v>戻　り　材</v>
      </c>
      <c r="P19" s="83">
        <f>'配合'!L17*R19/5</f>
        <v>0.08301317500000001</v>
      </c>
      <c r="Q19" s="83">
        <f>'配合'!M17*R19/5</f>
        <v>0.068093025</v>
      </c>
      <c r="R19" s="105">
        <f>S19*H14/1000/10/1000*7</f>
        <v>0.00793625</v>
      </c>
      <c r="S19" s="103">
        <f>S20*2</f>
        <v>1133.75</v>
      </c>
      <c r="T19" s="66"/>
      <c r="Y19" s="50" t="s">
        <v>39</v>
      </c>
      <c r="Z19" s="57">
        <f>SUM(Z17:Z18)</f>
        <v>662.6516842105259</v>
      </c>
      <c r="AA19" s="57">
        <f>SUM(AA17:AA18)</f>
        <v>542.7761754385964</v>
      </c>
      <c r="AB19" s="34"/>
    </row>
    <row r="20" spans="2:23" ht="14.25">
      <c r="B20" s="492" t="s">
        <v>160</v>
      </c>
      <c r="C20" s="421">
        <f>C19/C15</f>
        <v>0.5232968234725764</v>
      </c>
      <c r="D20" s="421">
        <f>D19/D15</f>
        <v>0.42863110959285106</v>
      </c>
      <c r="E20" s="28"/>
      <c r="F20" s="400" t="str">
        <f>O20</f>
        <v>銑鉄Ｆ</v>
      </c>
      <c r="G20" s="423" t="s">
        <v>154</v>
      </c>
      <c r="H20" s="412">
        <f>R20/5*100</f>
        <v>0.0793625</v>
      </c>
      <c r="I20" s="28"/>
      <c r="N20" s="425"/>
      <c r="O20" s="423" t="str">
        <f>'配合'!B14</f>
        <v>銑鉄Ｆ</v>
      </c>
      <c r="P20" s="83">
        <f>'配合'!L14*R20/5</f>
        <v>0</v>
      </c>
      <c r="Q20" s="83">
        <f>'配合'!M14*R20/5</f>
        <v>0</v>
      </c>
      <c r="R20" s="105">
        <f>S20*H14/1000/10/1000*7</f>
        <v>0.003968125</v>
      </c>
      <c r="S20" s="103">
        <f>(21.25*5*2)+(21.25*6.75*2)+(5*6.75*2)</f>
        <v>566.875</v>
      </c>
      <c r="T20" s="66"/>
      <c r="U20" s="499"/>
      <c r="V20" s="499"/>
      <c r="W20" s="499"/>
    </row>
    <row r="21" spans="2:20" ht="15" thickBot="1">
      <c r="B21" s="400" t="s">
        <v>161</v>
      </c>
      <c r="C21" s="421">
        <f>C15/C5</f>
        <v>2.1121151673733745</v>
      </c>
      <c r="D21" s="421">
        <f>D15/D5</f>
        <v>1.7599888296228852</v>
      </c>
      <c r="E21" s="28"/>
      <c r="F21" s="400" t="str">
        <f>O21</f>
        <v>ＥＰ銑</v>
      </c>
      <c r="G21" s="423" t="s">
        <v>154</v>
      </c>
      <c r="H21" s="412">
        <f>R21/5*100</f>
        <v>0.0793625</v>
      </c>
      <c r="I21" s="28"/>
      <c r="N21" s="425"/>
      <c r="O21" s="423" t="str">
        <f>'配合'!B13</f>
        <v>ＥＰ銑</v>
      </c>
      <c r="P21" s="83">
        <f>'配合'!L13*R21/5</f>
        <v>0.032300537500000004</v>
      </c>
      <c r="Q21" s="83">
        <f>'配合'!M13*R21/5</f>
        <v>0.0397606125</v>
      </c>
      <c r="R21" s="105">
        <f>S21*H14/1000/10/1000*7</f>
        <v>0.003968125</v>
      </c>
      <c r="S21" s="103">
        <f>(21.25*5*2)+(21.25*6.75*2)+(5*6.75*2)</f>
        <v>566.875</v>
      </c>
      <c r="T21" s="66"/>
    </row>
    <row r="22" spans="1:19" ht="15" thickTop="1">
      <c r="A22" s="8" t="s">
        <v>162</v>
      </c>
      <c r="B22" s="82"/>
      <c r="C22" s="22"/>
      <c r="D22" s="22"/>
      <c r="F22" s="22"/>
      <c r="G22" s="22"/>
      <c r="H22" s="22"/>
      <c r="N22" s="406" t="s">
        <v>163</v>
      </c>
      <c r="O22" s="427"/>
      <c r="P22" s="83">
        <f>SUM(P16:P21)</f>
        <v>0.2555937125</v>
      </c>
      <c r="Q22" s="83">
        <f>SUM(Q16:Q21)</f>
        <v>0.2481336375</v>
      </c>
      <c r="R22" s="106" t="s">
        <v>164</v>
      </c>
      <c r="S22" s="6"/>
    </row>
    <row r="23" spans="2:18" ht="13.5" customHeight="1">
      <c r="B23" s="430" t="s">
        <v>167</v>
      </c>
      <c r="C23" s="107">
        <f>(H4*H6*J5*C14*C8/100)*(C9/100*(100-C10)/100)</f>
        <v>599.5411706525314</v>
      </c>
      <c r="D23" s="107">
        <f>(H4*H6*J5*D14*D8/100)*(D9/100*(100-D10)/100)</f>
        <v>719.4932028468224</v>
      </c>
      <c r="E23" s="101" t="s">
        <v>168</v>
      </c>
      <c r="G23" t="s">
        <v>169</v>
      </c>
      <c r="N23" s="566" t="s">
        <v>165</v>
      </c>
      <c r="O23" s="567"/>
      <c r="P23" s="83">
        <f>'配合'!AD33</f>
        <v>0.06489422941520469</v>
      </c>
      <c r="Q23" s="83">
        <f>'配合'!AG33</f>
        <v>0.07038886159565581</v>
      </c>
      <c r="R23" s="101" t="s">
        <v>166</v>
      </c>
    </row>
    <row r="24" spans="2:18" ht="14.25">
      <c r="B24" s="6"/>
      <c r="C24" s="6"/>
      <c r="D24" s="6"/>
      <c r="N24" s="566" t="s">
        <v>170</v>
      </c>
      <c r="O24" s="567"/>
      <c r="P24" s="108">
        <f>P22-P23</f>
        <v>0.19069948308479534</v>
      </c>
      <c r="Q24" s="108">
        <f>Q22-Q23</f>
        <v>0.17774477590434418</v>
      </c>
      <c r="R24" s="34"/>
    </row>
    <row r="25" spans="14:17" ht="14.25">
      <c r="N25" s="6"/>
      <c r="O25" s="6"/>
      <c r="P25" s="6"/>
      <c r="Q25" s="6"/>
    </row>
    <row r="26" spans="14:23" ht="14.25">
      <c r="N26" s="26" t="s">
        <v>172</v>
      </c>
      <c r="O26" s="29"/>
      <c r="P26" s="92">
        <f>1000*P24/100*71.85/55.85</f>
        <v>2.4533138513236423</v>
      </c>
      <c r="Q26" s="92">
        <f>1000*Q24/100*71.85/55.85</f>
        <v>2.286653920989638</v>
      </c>
      <c r="R26" s="106" t="s">
        <v>173</v>
      </c>
      <c r="S26" s="48"/>
      <c r="T26" s="48"/>
      <c r="U26" s="48"/>
      <c r="V26" s="6"/>
      <c r="W26" s="34"/>
    </row>
    <row r="27" spans="14:23" ht="14.25">
      <c r="N27" s="26" t="s">
        <v>175</v>
      </c>
      <c r="O27" s="29"/>
      <c r="P27" s="92">
        <f>P26*131.85/71.85</f>
        <v>4.5020101781074775</v>
      </c>
      <c r="Q27" s="92">
        <f>Q26*131.85/71.85</f>
        <v>4.196177028287875</v>
      </c>
      <c r="R27" s="106" t="s">
        <v>176</v>
      </c>
      <c r="S27" s="48"/>
      <c r="T27" s="48"/>
      <c r="U27" s="6"/>
      <c r="V27" s="6"/>
      <c r="W27" s="34"/>
    </row>
    <row r="28" spans="14:23" ht="14.25">
      <c r="N28" s="26" t="s">
        <v>178</v>
      </c>
      <c r="O28" s="29"/>
      <c r="P28" s="92">
        <f>P26*60/71.85</f>
        <v>2.048696326783835</v>
      </c>
      <c r="Q28" s="92">
        <f>Q26*60/71.85</f>
        <v>1.9095231072982368</v>
      </c>
      <c r="R28" s="106" t="s">
        <v>179</v>
      </c>
      <c r="S28" s="48"/>
      <c r="T28" s="48"/>
      <c r="U28" s="6"/>
      <c r="V28" s="6"/>
      <c r="W28" s="34"/>
    </row>
    <row r="29" spans="14:23" ht="14.25">
      <c r="N29" s="26" t="s">
        <v>180</v>
      </c>
      <c r="O29" s="29"/>
      <c r="P29" s="92">
        <f>1000*'配合'!AD30/100</f>
        <v>0.439871052631579</v>
      </c>
      <c r="Q29" s="92">
        <f>1000*'配合'!AG30/100</f>
        <v>0.5874439849624061</v>
      </c>
      <c r="R29" s="106" t="s">
        <v>181</v>
      </c>
      <c r="S29" s="48"/>
      <c r="T29" s="48"/>
      <c r="U29" s="6"/>
      <c r="V29" s="6"/>
      <c r="W29" s="34"/>
    </row>
    <row r="30" spans="14:23" ht="14.25">
      <c r="N30" s="26" t="s">
        <v>183</v>
      </c>
      <c r="O30" s="29"/>
      <c r="P30" s="92">
        <f>P29-P28</f>
        <v>-1.6088252741522562</v>
      </c>
      <c r="Q30" s="92">
        <f>Q29-Q28</f>
        <v>-1.3220791223358308</v>
      </c>
      <c r="R30" s="32" t="s">
        <v>184</v>
      </c>
      <c r="S30" s="48"/>
      <c r="T30" s="48"/>
      <c r="U30" s="48"/>
      <c r="V30" s="48"/>
      <c r="W30" s="34"/>
    </row>
    <row r="31" spans="1:22" ht="14.25">
      <c r="A31" t="s">
        <v>59</v>
      </c>
      <c r="N31" s="33" t="s">
        <v>186</v>
      </c>
      <c r="O31" s="6"/>
      <c r="P31" s="6"/>
      <c r="Q31" s="6"/>
      <c r="R31" s="6"/>
      <c r="S31" s="6"/>
      <c r="T31" s="6"/>
      <c r="U31" s="6"/>
      <c r="V31" s="6"/>
    </row>
    <row r="32" spans="1:18" ht="14.25">
      <c r="A32" t="s">
        <v>171</v>
      </c>
      <c r="N32" s="26" t="s">
        <v>188</v>
      </c>
      <c r="O32" s="29"/>
      <c r="P32" s="92">
        <f>P27</f>
        <v>4.5020101781074775</v>
      </c>
      <c r="Q32" s="92">
        <f>Q27</f>
        <v>4.196177028287875</v>
      </c>
      <c r="R32" s="34"/>
    </row>
    <row r="33" spans="1:18" ht="14.25">
      <c r="A33" s="88" t="s">
        <v>174</v>
      </c>
      <c r="N33" s="26" t="s">
        <v>190</v>
      </c>
      <c r="O33" s="29"/>
      <c r="P33" s="92">
        <f>IF(P30&gt;0,P30,P30*-1)</f>
        <v>1.6088252741522562</v>
      </c>
      <c r="Q33" s="92">
        <f>IF(Q30&gt;0,Q30,Q30*-1)</f>
        <v>1.3220791223358308</v>
      </c>
      <c r="R33" s="34"/>
    </row>
    <row r="34" spans="1:18" ht="14.25">
      <c r="A34" t="s">
        <v>177</v>
      </c>
      <c r="N34" s="26" t="s">
        <v>192</v>
      </c>
      <c r="O34" s="29"/>
      <c r="P34" s="92">
        <f>1000*'配合'!AE30/100</f>
        <v>1.0042875055616227</v>
      </c>
      <c r="Q34" s="92">
        <f>1000*'配合'!AH30/100</f>
        <v>1.004287505561623</v>
      </c>
      <c r="R34" s="34"/>
    </row>
    <row r="35" spans="14:18" ht="14.25">
      <c r="N35" s="26" t="s">
        <v>194</v>
      </c>
      <c r="O35" s="30"/>
      <c r="P35" s="21">
        <f>SUM(P32:P34)</f>
        <v>7.115122957821356</v>
      </c>
      <c r="Q35" s="21">
        <f>SUM(Q32:Q34)</f>
        <v>6.522543656185329</v>
      </c>
      <c r="R35" s="34"/>
    </row>
    <row r="36" spans="1:17" ht="14.25">
      <c r="A36" t="s">
        <v>182</v>
      </c>
      <c r="B36" t="s">
        <v>185</v>
      </c>
      <c r="N36" s="6"/>
      <c r="O36" s="6"/>
      <c r="P36" s="6"/>
      <c r="Q36" s="6"/>
    </row>
    <row r="37" spans="2:18" ht="14.25">
      <c r="B37" t="s">
        <v>187</v>
      </c>
      <c r="N37" s="26" t="s">
        <v>197</v>
      </c>
      <c r="O37" s="29"/>
      <c r="P37" s="92">
        <f>IF(P30&gt;0,0,P30*-1)</f>
        <v>1.6088252741522562</v>
      </c>
      <c r="Q37" s="92">
        <f>IF(Q30&gt;0,0,Q30*-1)</f>
        <v>1.3220791223358308</v>
      </c>
      <c r="R37" s="66" t="s">
        <v>198</v>
      </c>
    </row>
    <row r="38" spans="2:18" ht="14.25">
      <c r="B38" t="s">
        <v>189</v>
      </c>
      <c r="N38" s="26" t="s">
        <v>200</v>
      </c>
      <c r="O38" s="29"/>
      <c r="P38" s="21">
        <f>P27+P39+('配合'!AE27+'配合'!AE29)/100</f>
        <v>4.503014465613039</v>
      </c>
      <c r="Q38" s="21">
        <f>Q27+Q39+('配合'!AH27+'配合'!AH29)/100</f>
        <v>4.197181315793436</v>
      </c>
      <c r="R38" s="34"/>
    </row>
    <row r="39" spans="2:18" ht="14.25">
      <c r="B39" s="88" t="s">
        <v>191</v>
      </c>
      <c r="N39" s="26" t="s">
        <v>203</v>
      </c>
      <c r="O39" s="29"/>
      <c r="P39" s="92">
        <f>IF(P30&gt;0,P30,0)</f>
        <v>0</v>
      </c>
      <c r="Q39" s="92">
        <f>IF(Q30&gt;0,Q30,0)</f>
        <v>0</v>
      </c>
      <c r="R39" s="34"/>
    </row>
    <row r="40" spans="2:17" ht="14.25">
      <c r="B40" t="s">
        <v>193</v>
      </c>
      <c r="N40" s="6"/>
      <c r="O40" s="6"/>
      <c r="P40" s="6"/>
      <c r="Q40" s="6"/>
    </row>
    <row r="41" spans="2:14" ht="14.25">
      <c r="B41" s="86" t="s">
        <v>195</v>
      </c>
      <c r="C41" s="43"/>
      <c r="D41" s="43"/>
      <c r="E41" s="43"/>
      <c r="F41" s="43"/>
      <c r="G41" s="43"/>
      <c r="H41" s="43"/>
      <c r="N41" t="s">
        <v>863</v>
      </c>
    </row>
    <row r="42" spans="2:14" ht="14.25">
      <c r="B42" s="109" t="s">
        <v>196</v>
      </c>
      <c r="C42" s="110"/>
      <c r="D42" s="110"/>
      <c r="E42" s="110"/>
      <c r="F42" s="110"/>
      <c r="N42" t="s">
        <v>864</v>
      </c>
    </row>
    <row r="44" spans="1:8" ht="13.5" customHeight="1">
      <c r="A44" s="88" t="s">
        <v>199</v>
      </c>
      <c r="B44" s="112" t="s">
        <v>201</v>
      </c>
      <c r="C44" s="111"/>
      <c r="D44" s="111"/>
      <c r="E44" s="111"/>
      <c r="F44" s="111"/>
      <c r="G44" s="111"/>
      <c r="H44" t="s">
        <v>202</v>
      </c>
    </row>
    <row r="45" spans="1:2" ht="18.75" customHeight="1">
      <c r="A45" s="111"/>
      <c r="B45" s="88" t="s">
        <v>204</v>
      </c>
    </row>
    <row r="46" ht="14.25">
      <c r="H46" s="8" t="s">
        <v>205</v>
      </c>
    </row>
    <row r="48" spans="1:2" ht="14.25">
      <c r="A48" t="s">
        <v>206</v>
      </c>
      <c r="B48" s="112" t="s">
        <v>207</v>
      </c>
    </row>
    <row r="49" spans="2:8" ht="14.25">
      <c r="B49" s="86" t="s">
        <v>208</v>
      </c>
      <c r="C49" s="43"/>
      <c r="D49" s="43"/>
      <c r="E49" s="43"/>
      <c r="F49" s="43"/>
      <c r="G49" s="43"/>
      <c r="H49" t="s">
        <v>202</v>
      </c>
    </row>
    <row r="50" spans="1:8" ht="14.25">
      <c r="A50" s="43"/>
      <c r="B50" t="s">
        <v>209</v>
      </c>
      <c r="C50" t="s">
        <v>210</v>
      </c>
      <c r="H50" s="8" t="s">
        <v>205</v>
      </c>
    </row>
    <row r="51" spans="2:7" ht="14.25">
      <c r="B51" s="43"/>
      <c r="C51" s="43"/>
      <c r="D51" s="43"/>
      <c r="E51" s="43"/>
      <c r="F51" s="43"/>
      <c r="G51" s="43"/>
    </row>
    <row r="52" ht="14.25">
      <c r="A52" s="86" t="s">
        <v>211</v>
      </c>
    </row>
    <row r="53" spans="2:8" ht="14.25">
      <c r="B53" s="43"/>
      <c r="C53" s="43"/>
      <c r="D53" s="43"/>
      <c r="E53" s="43"/>
      <c r="F53" s="43"/>
      <c r="G53" s="43"/>
      <c r="H53" s="43"/>
    </row>
    <row r="54" spans="1:8" ht="14.25">
      <c r="A54" s="86" t="s">
        <v>212</v>
      </c>
      <c r="B54" s="43"/>
      <c r="C54" s="43"/>
      <c r="D54" s="43"/>
      <c r="E54" s="43"/>
      <c r="F54" s="43"/>
      <c r="G54" s="43"/>
      <c r="H54" s="43"/>
    </row>
    <row r="55" spans="1:8" ht="14.25">
      <c r="A55" s="43"/>
      <c r="B55" s="43"/>
      <c r="C55" s="43"/>
      <c r="D55" s="43"/>
      <c r="E55" s="43"/>
      <c r="F55" s="43"/>
      <c r="G55" s="43"/>
      <c r="H55" s="43"/>
    </row>
    <row r="56" spans="1:8" ht="14.25">
      <c r="A56" s="86" t="s">
        <v>213</v>
      </c>
      <c r="B56" s="43"/>
      <c r="C56" s="43"/>
      <c r="D56" s="43"/>
      <c r="E56" s="43"/>
      <c r="F56" s="43"/>
      <c r="G56" s="43"/>
      <c r="H56" s="43"/>
    </row>
    <row r="57" spans="1:8" ht="14.25">
      <c r="A57" s="43"/>
      <c r="B57" s="43"/>
      <c r="C57" s="43"/>
      <c r="D57" s="43"/>
      <c r="E57" s="43"/>
      <c r="F57" s="43"/>
      <c r="G57" s="43"/>
      <c r="H57" s="43"/>
    </row>
    <row r="58" ht="14.25">
      <c r="A58" s="86" t="s">
        <v>214</v>
      </c>
    </row>
    <row r="59" ht="14.25">
      <c r="B59" s="88" t="s">
        <v>215</v>
      </c>
    </row>
    <row r="60" spans="2:7" ht="14.25">
      <c r="B60" s="43"/>
      <c r="C60" s="43"/>
      <c r="D60" s="43"/>
      <c r="E60" s="43"/>
      <c r="F60" s="43"/>
      <c r="G60" s="43"/>
    </row>
    <row r="61" ht="14.25">
      <c r="A61" s="86" t="s">
        <v>216</v>
      </c>
    </row>
    <row r="63" spans="1:8" ht="14.25">
      <c r="A63" t="s">
        <v>217</v>
      </c>
      <c r="E63" s="43"/>
      <c r="F63" s="43"/>
      <c r="G63" s="43"/>
      <c r="H63" s="43"/>
    </row>
    <row r="64" spans="2:8" ht="14.25">
      <c r="B64" s="86" t="s">
        <v>218</v>
      </c>
      <c r="E64" s="43"/>
      <c r="F64" s="43"/>
      <c r="G64" s="43"/>
      <c r="H64" t="s">
        <v>221</v>
      </c>
    </row>
    <row r="65" spans="2:8" ht="14.25">
      <c r="B65" s="86" t="s">
        <v>219</v>
      </c>
      <c r="D65" s="86"/>
      <c r="E65" s="43"/>
      <c r="F65" s="43"/>
      <c r="G65" s="43"/>
      <c r="H65" t="s">
        <v>223</v>
      </c>
    </row>
    <row r="67" spans="2:3" ht="14.25">
      <c r="B67" s="43"/>
      <c r="C67" s="43"/>
    </row>
    <row r="68" spans="1:3" ht="14.25">
      <c r="A68" s="86" t="s">
        <v>220</v>
      </c>
      <c r="B68" s="43"/>
      <c r="C68" s="43"/>
    </row>
    <row r="69" spans="1:8" ht="14.25">
      <c r="A69" s="86" t="s">
        <v>222</v>
      </c>
      <c r="B69" s="86"/>
      <c r="C69" s="43"/>
      <c r="D69" s="43"/>
      <c r="E69" s="43"/>
      <c r="F69" s="43"/>
      <c r="G69" s="43"/>
      <c r="H69" s="43"/>
    </row>
    <row r="70" ht="14.25">
      <c r="A70" s="86" t="s">
        <v>224</v>
      </c>
    </row>
  </sheetData>
  <sheetProtection sheet="1" objects="1" scenarios="1"/>
  <mergeCells count="2">
    <mergeCell ref="N23:O23"/>
    <mergeCell ref="N24:O24"/>
  </mergeCells>
  <printOptions/>
  <pageMargins left="0.5" right="0.5861111111111111" top="0.7875" bottom="0.586111111111111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40"/>
  <sheetViews>
    <sheetView showGridLines="0" showOutlineSymbols="0" zoomScale="120" zoomScaleNormal="120" workbookViewId="0" topLeftCell="A1">
      <selection activeCell="F7" sqref="F7:G15"/>
    </sheetView>
  </sheetViews>
  <sheetFormatPr defaultColWidth="9.00390625" defaultRowHeight="14.25"/>
  <cols>
    <col min="1" max="1" width="8.75390625" style="0" customWidth="1"/>
    <col min="2" max="2" width="6.75390625" style="0" customWidth="1"/>
    <col min="3" max="3" width="11.125" style="0" customWidth="1"/>
    <col min="4" max="5" width="10.625" style="0" customWidth="1"/>
    <col min="6" max="11" width="10.375" style="0" customWidth="1"/>
    <col min="13" max="14" width="9.75390625" style="0" customWidth="1"/>
    <col min="15" max="16384" width="10.75390625" style="0" customWidth="1"/>
  </cols>
  <sheetData>
    <row r="1" spans="2:7" ht="15.75">
      <c r="B1" s="96"/>
      <c r="C1" s="24" t="s">
        <v>225</v>
      </c>
      <c r="D1" s="25"/>
      <c r="E1" s="25"/>
      <c r="F1" s="25"/>
      <c r="G1" s="24" t="s">
        <v>226</v>
      </c>
    </row>
    <row r="2" spans="5:13" ht="14.25">
      <c r="E2" s="7" t="s">
        <v>0</v>
      </c>
      <c r="F2" t="s">
        <v>1</v>
      </c>
      <c r="H2" s="410" t="s">
        <v>2</v>
      </c>
      <c r="I2" t="s">
        <v>3</v>
      </c>
      <c r="M2" s="113"/>
    </row>
    <row r="3" ht="15" thickBot="1"/>
    <row r="4" spans="2:13" ht="15" thickTop="1">
      <c r="B4" s="394"/>
      <c r="C4" s="402" t="s">
        <v>227</v>
      </c>
      <c r="D4" s="565" t="s">
        <v>228</v>
      </c>
      <c r="E4" s="562"/>
      <c r="F4" s="560" t="s">
        <v>883</v>
      </c>
      <c r="G4" s="562"/>
      <c r="H4" s="560" t="s">
        <v>878</v>
      </c>
      <c r="I4" s="562"/>
      <c r="J4" s="560" t="s">
        <v>879</v>
      </c>
      <c r="K4" s="562"/>
      <c r="L4" s="399" t="s">
        <v>229</v>
      </c>
      <c r="M4" s="15"/>
    </row>
    <row r="5" spans="2:13" ht="15" thickBot="1">
      <c r="B5" s="403"/>
      <c r="C5" s="393"/>
      <c r="D5" s="500" t="str">
        <f>'操業条件'!C13</f>
        <v>方案歩留り５０％</v>
      </c>
      <c r="E5" s="471" t="str">
        <f>'操業条件'!D13</f>
        <v>方案歩留り６０％</v>
      </c>
      <c r="F5" s="500" t="str">
        <f>D5</f>
        <v>方案歩留り５０％</v>
      </c>
      <c r="G5" s="471" t="str">
        <f>E5</f>
        <v>方案歩留り６０％</v>
      </c>
      <c r="H5" s="500" t="str">
        <f>D5</f>
        <v>方案歩留り５０％</v>
      </c>
      <c r="I5" s="471" t="str">
        <f>E5</f>
        <v>方案歩留り６０％</v>
      </c>
      <c r="J5" s="500" t="str">
        <f>H5</f>
        <v>方案歩留り５０％</v>
      </c>
      <c r="K5" s="471" t="str">
        <f>I5</f>
        <v>方案歩留り６０％</v>
      </c>
      <c r="L5" s="424" t="s">
        <v>230</v>
      </c>
      <c r="M5" s="15"/>
    </row>
    <row r="6" spans="2:13" ht="14.25">
      <c r="B6" s="394"/>
      <c r="C6" s="398" t="str">
        <f>'配合'!B12</f>
        <v>残　し　湯</v>
      </c>
      <c r="D6" s="434"/>
      <c r="E6" s="435"/>
      <c r="F6" s="115"/>
      <c r="G6" s="116"/>
      <c r="H6" s="438"/>
      <c r="I6" s="439"/>
      <c r="J6" s="438"/>
      <c r="K6" s="439"/>
      <c r="L6" s="117"/>
      <c r="M6" s="15"/>
    </row>
    <row r="7" spans="2:13" ht="14.25">
      <c r="B7" s="403"/>
      <c r="C7" s="406" t="str">
        <f>'配合'!B13</f>
        <v>ＥＰ銑</v>
      </c>
      <c r="D7" s="419">
        <f>'配合'!L13</f>
        <v>40.7</v>
      </c>
      <c r="E7" s="412">
        <f>'配合'!M13</f>
        <v>50.1</v>
      </c>
      <c r="F7" s="544">
        <v>45000</v>
      </c>
      <c r="G7" s="545">
        <v>45000</v>
      </c>
      <c r="H7" s="440">
        <f aca="true" t="shared" si="0" ref="H7:I11">D7/100*F7</f>
        <v>18315</v>
      </c>
      <c r="I7" s="441">
        <f t="shared" si="0"/>
        <v>22545</v>
      </c>
      <c r="J7" s="440">
        <f>J12*H7/H12</f>
        <v>37587.61456327723</v>
      </c>
      <c r="K7" s="441">
        <f>K12*I7/I12</f>
        <v>38471.595203390636</v>
      </c>
      <c r="L7" s="15"/>
      <c r="M7" s="15"/>
    </row>
    <row r="8" spans="2:13" ht="14.25">
      <c r="B8" s="424" t="str">
        <f>'配合'!A14</f>
        <v>主原料</v>
      </c>
      <c r="C8" s="406" t="str">
        <f>'配合'!B14</f>
        <v>銑鉄Ｆ</v>
      </c>
      <c r="D8" s="419">
        <f>'配合'!L14</f>
        <v>0</v>
      </c>
      <c r="E8" s="412">
        <f>'配合'!M14</f>
        <v>0</v>
      </c>
      <c r="F8" s="544">
        <v>0</v>
      </c>
      <c r="G8" s="545">
        <v>0</v>
      </c>
      <c r="H8" s="440">
        <f t="shared" si="0"/>
        <v>0</v>
      </c>
      <c r="I8" s="441">
        <f t="shared" si="0"/>
        <v>0</v>
      </c>
      <c r="J8" s="440">
        <f>J12*H8/H12</f>
        <v>0</v>
      </c>
      <c r="K8" s="441">
        <f>K12*I8/I12</f>
        <v>0</v>
      </c>
      <c r="L8" s="15"/>
      <c r="M8" s="15"/>
    </row>
    <row r="9" spans="2:13" ht="14.25">
      <c r="B9" s="403"/>
      <c r="C9" s="406" t="str">
        <f>'配合'!B15</f>
        <v>銑鉄Ｂ</v>
      </c>
      <c r="D9" s="419">
        <f>'配合'!L15</f>
        <v>0</v>
      </c>
      <c r="E9" s="412">
        <f>'配合'!M15</f>
        <v>0</v>
      </c>
      <c r="F9" s="544">
        <v>0</v>
      </c>
      <c r="G9" s="545">
        <v>0</v>
      </c>
      <c r="H9" s="440">
        <f t="shared" si="0"/>
        <v>0</v>
      </c>
      <c r="I9" s="441">
        <f t="shared" si="0"/>
        <v>0</v>
      </c>
      <c r="J9" s="440">
        <f>J12*H9/H12</f>
        <v>0</v>
      </c>
      <c r="K9" s="441">
        <f>K12*I9/I12</f>
        <v>0</v>
      </c>
      <c r="L9" s="15"/>
      <c r="M9" s="15"/>
    </row>
    <row r="10" spans="2:13" ht="14.25">
      <c r="B10" s="403"/>
      <c r="C10" s="406" t="str">
        <f>'配合'!B16</f>
        <v>鋼スクラップ</v>
      </c>
      <c r="D10" s="419">
        <f>'配合'!L16</f>
        <v>7</v>
      </c>
      <c r="E10" s="412">
        <f>'配合'!M16</f>
        <v>7</v>
      </c>
      <c r="F10" s="544">
        <v>33000</v>
      </c>
      <c r="G10" s="545">
        <v>33000</v>
      </c>
      <c r="H10" s="440">
        <f t="shared" si="0"/>
        <v>2310</v>
      </c>
      <c r="I10" s="441">
        <f t="shared" si="0"/>
        <v>2310</v>
      </c>
      <c r="J10" s="440">
        <f>J12*H10/H12</f>
        <v>4740.780215188119</v>
      </c>
      <c r="K10" s="441">
        <f>K12*I10/I12</f>
        <v>3941.866707466506</v>
      </c>
      <c r="L10" s="15"/>
      <c r="M10" s="15"/>
    </row>
    <row r="11" spans="2:13" ht="14.25">
      <c r="B11" s="403"/>
      <c r="C11" s="406" t="str">
        <f>'配合'!B17</f>
        <v>戻　り　材</v>
      </c>
      <c r="D11" s="419">
        <f>'配合'!L17</f>
        <v>52.3</v>
      </c>
      <c r="E11" s="412">
        <f>'配合'!M17</f>
        <v>42.9</v>
      </c>
      <c r="F11" s="544">
        <v>0</v>
      </c>
      <c r="G11" s="545">
        <v>0</v>
      </c>
      <c r="H11" s="440">
        <f t="shared" si="0"/>
        <v>0</v>
      </c>
      <c r="I11" s="441">
        <f t="shared" si="0"/>
        <v>0</v>
      </c>
      <c r="J11" s="440">
        <f>J12*H11/H12</f>
        <v>0</v>
      </c>
      <c r="K11" s="441">
        <f>K12*I11/I12</f>
        <v>0</v>
      </c>
      <c r="L11" s="15"/>
      <c r="M11" s="15"/>
    </row>
    <row r="12" spans="2:13" ht="14.25">
      <c r="B12" s="403"/>
      <c r="C12" s="433" t="s">
        <v>231</v>
      </c>
      <c r="D12" s="436">
        <f>SUM(D7:D11)</f>
        <v>100</v>
      </c>
      <c r="E12" s="436">
        <f>SUM(E7:E11)</f>
        <v>100</v>
      </c>
      <c r="F12" s="119"/>
      <c r="G12" s="120"/>
      <c r="H12" s="442">
        <f>SUM(H7:H11)</f>
        <v>20625</v>
      </c>
      <c r="I12" s="443">
        <f>SUM(I7:I11)</f>
        <v>24855</v>
      </c>
      <c r="J12" s="442">
        <f>(J18-H30)/D20*100</f>
        <v>42328.39477846535</v>
      </c>
      <c r="K12" s="443">
        <f>(K18-I30)/E20*100</f>
        <v>42413.46191085714</v>
      </c>
      <c r="L12" s="442">
        <f>K12-J12</f>
        <v>85.06713239179226</v>
      </c>
      <c r="M12" s="15"/>
    </row>
    <row r="13" spans="2:13" ht="14.25">
      <c r="B13" s="394"/>
      <c r="C13" s="398" t="str">
        <f>'配合'!B18</f>
        <v>Ｆｅ－Ｓｉ</v>
      </c>
      <c r="D13" s="437">
        <f>'配合'!L18</f>
        <v>0.06477642105263158</v>
      </c>
      <c r="E13" s="411">
        <f>'配合'!M18</f>
        <v>0.2920387368421055</v>
      </c>
      <c r="F13" s="546">
        <v>120000</v>
      </c>
      <c r="G13" s="547">
        <v>120000</v>
      </c>
      <c r="H13" s="438">
        <f aca="true" t="shared" si="1" ref="H13:I15">D13/100*F13</f>
        <v>77.73170526315789</v>
      </c>
      <c r="I13" s="439">
        <f t="shared" si="1"/>
        <v>350.44648421052665</v>
      </c>
      <c r="J13" s="438">
        <f>H13*H32</f>
        <v>164.17831367211255</v>
      </c>
      <c r="K13" s="439">
        <f>I13*I32</f>
        <v>616.7818975911397</v>
      </c>
      <c r="L13" s="121"/>
      <c r="M13" s="15"/>
    </row>
    <row r="14" spans="2:13" ht="14.25">
      <c r="B14" s="424" t="str">
        <f>'配合'!A19</f>
        <v>副原料</v>
      </c>
      <c r="C14" s="406" t="str">
        <f>'配合'!B19</f>
        <v>Ｃｕ</v>
      </c>
      <c r="D14" s="419">
        <f>'配合'!L19</f>
        <v>0.7561391694725028</v>
      </c>
      <c r="E14" s="412">
        <f>'配合'!M19</f>
        <v>0.751919191919192</v>
      </c>
      <c r="F14" s="544">
        <v>300000</v>
      </c>
      <c r="G14" s="545">
        <v>300000</v>
      </c>
      <c r="H14" s="440">
        <f t="shared" si="1"/>
        <v>2268.4175084175085</v>
      </c>
      <c r="I14" s="441">
        <f t="shared" si="1"/>
        <v>2255.757575757576</v>
      </c>
      <c r="J14" s="440">
        <f>H14*H32</f>
        <v>4791.1590254639395</v>
      </c>
      <c r="K14" s="441">
        <f>I14*I32</f>
        <v>3970.1081356705326</v>
      </c>
      <c r="L14" s="122"/>
      <c r="M14" s="15"/>
    </row>
    <row r="15" spans="2:13" ht="14.25">
      <c r="B15" s="403"/>
      <c r="C15" s="406" t="str">
        <f>'配合'!B20</f>
        <v>加　炭　材</v>
      </c>
      <c r="D15" s="419">
        <f>'配合'!L20</f>
        <v>0.3443391812865487</v>
      </c>
      <c r="E15" s="412">
        <f>'配合'!M20</f>
        <v>0.3443391812865492</v>
      </c>
      <c r="F15" s="544">
        <v>100000</v>
      </c>
      <c r="G15" s="545">
        <v>100000</v>
      </c>
      <c r="H15" s="440">
        <f t="shared" si="1"/>
        <v>344.33918128654875</v>
      </c>
      <c r="I15" s="441">
        <f t="shared" si="1"/>
        <v>344.33918128654926</v>
      </c>
      <c r="J15" s="440">
        <f>H15*H32</f>
        <v>727.2840075162496</v>
      </c>
      <c r="K15" s="441">
        <f>I15*I32</f>
        <v>606.0331126658164</v>
      </c>
      <c r="L15" s="122"/>
      <c r="M15" s="15"/>
    </row>
    <row r="16" spans="2:13" ht="14.25">
      <c r="B16" s="403"/>
      <c r="C16" s="433" t="s">
        <v>232</v>
      </c>
      <c r="D16" s="418">
        <f>SUM(D13:D15)</f>
        <v>1.165254771811683</v>
      </c>
      <c r="E16" s="417">
        <f>SUM(E13:E15)</f>
        <v>1.3882971100478467</v>
      </c>
      <c r="F16" s="119"/>
      <c r="G16" s="120"/>
      <c r="H16" s="442">
        <f>SUM(H13:H15)</f>
        <v>2690.4883949672153</v>
      </c>
      <c r="I16" s="443">
        <f>SUM(I13:I15)</f>
        <v>2950.543241254652</v>
      </c>
      <c r="J16" s="442">
        <f>SUM(J13:J15)</f>
        <v>5682.621346652301</v>
      </c>
      <c r="K16" s="443">
        <f>SUM(K13:K15)</f>
        <v>5192.923145927489</v>
      </c>
      <c r="L16" s="442">
        <f>K16-J16</f>
        <v>-489.6982007248125</v>
      </c>
      <c r="M16" s="15"/>
    </row>
    <row r="17" spans="2:13" ht="14.25">
      <c r="B17" s="394"/>
      <c r="C17" s="402" t="str">
        <f>'配合'!K21</f>
        <v>合計</v>
      </c>
      <c r="D17" s="437">
        <f>'配合'!L21</f>
        <v>101.16525477181168</v>
      </c>
      <c r="E17" s="411">
        <f>'配合'!M21</f>
        <v>101.38829711004783</v>
      </c>
      <c r="F17" s="121"/>
      <c r="G17" s="123"/>
      <c r="H17" s="438">
        <f>H12+H16</f>
        <v>23315.488394967215</v>
      </c>
      <c r="I17" s="438">
        <f>I12+I16</f>
        <v>27805.54324125465</v>
      </c>
      <c r="J17" s="438">
        <f>J12+J16</f>
        <v>48011.016125117654</v>
      </c>
      <c r="K17" s="438">
        <f>K12+K16</f>
        <v>47606.38505678463</v>
      </c>
      <c r="L17" s="438">
        <f>K17-J17</f>
        <v>-404.631068333023</v>
      </c>
      <c r="M17" s="15"/>
    </row>
    <row r="18" spans="2:13" ht="14.25">
      <c r="B18" s="399" t="s">
        <v>233</v>
      </c>
      <c r="C18" s="398" t="s">
        <v>234</v>
      </c>
      <c r="D18" s="124">
        <f>'配合'!I6</f>
        <v>1.35</v>
      </c>
      <c r="E18" s="125">
        <f>D18</f>
        <v>1.35</v>
      </c>
      <c r="F18" s="399" t="s">
        <v>235</v>
      </c>
      <c r="G18" s="401"/>
      <c r="H18" s="401"/>
      <c r="I18" s="401"/>
      <c r="J18" s="126">
        <f>H12*H32</f>
        <v>43562.375327075846</v>
      </c>
      <c r="K18" s="126">
        <f>I12*I32</f>
        <v>43744.52236027681</v>
      </c>
      <c r="L18" s="438">
        <f>K18-J18</f>
        <v>182.14703320096305</v>
      </c>
      <c r="M18" s="15"/>
    </row>
    <row r="19" spans="2:12" ht="14.25">
      <c r="B19" s="424" t="s">
        <v>236</v>
      </c>
      <c r="C19" s="406" t="s">
        <v>15</v>
      </c>
      <c r="D19" s="127">
        <f>'配合'!I7</f>
        <v>0.4</v>
      </c>
      <c r="E19" s="92">
        <f>D19</f>
        <v>0.4</v>
      </c>
      <c r="F19" s="100"/>
      <c r="G19" s="6"/>
      <c r="H19" s="6"/>
      <c r="I19" s="6"/>
      <c r="J19" s="6"/>
      <c r="K19" s="6"/>
      <c r="L19" s="22"/>
    </row>
    <row r="20" spans="2:12" ht="14.25">
      <c r="B20" s="407"/>
      <c r="C20" s="408" t="s">
        <v>237</v>
      </c>
      <c r="D20" s="56">
        <f>D17+D18+D19</f>
        <v>102.91525477181168</v>
      </c>
      <c r="E20" s="128">
        <f>E17+E18+E19</f>
        <v>103.13829711004783</v>
      </c>
      <c r="F20" s="129"/>
      <c r="J20" s="8" t="s">
        <v>238</v>
      </c>
      <c r="K20" s="9"/>
      <c r="L20" s="9"/>
    </row>
    <row r="21" spans="2:5" ht="15" thickTop="1">
      <c r="B21" s="22"/>
      <c r="C21" s="22"/>
      <c r="D21" s="22"/>
      <c r="E21" s="22"/>
    </row>
    <row r="22" ht="14.25">
      <c r="B22" t="s">
        <v>866</v>
      </c>
    </row>
    <row r="23" ht="14.25">
      <c r="B23" t="s">
        <v>867</v>
      </c>
    </row>
    <row r="30" spans="6:12" ht="15" thickBot="1">
      <c r="F30" s="406" t="s">
        <v>239</v>
      </c>
      <c r="G30" s="425"/>
      <c r="H30" s="441">
        <f>F11*H31*H32</f>
        <v>0</v>
      </c>
      <c r="I30" s="441">
        <f>G11*I31*I32</f>
        <v>0</v>
      </c>
      <c r="J30" s="34"/>
      <c r="K30" s="8" t="s">
        <v>240</v>
      </c>
      <c r="L30" s="9"/>
    </row>
    <row r="31" spans="6:13" ht="15" thickBot="1" thickTop="1">
      <c r="F31" s="459" t="str">
        <f>'操業条件'!B20</f>
        <v>戻り原単位　（戻り　t/溶解t）</v>
      </c>
      <c r="G31" s="425"/>
      <c r="H31" s="47">
        <f>'操業条件'!C20</f>
        <v>0.5232968234725764</v>
      </c>
      <c r="I31" s="47">
        <f>'操業条件'!D20</f>
        <v>0.42863110959285106</v>
      </c>
      <c r="J31" s="34"/>
      <c r="K31" s="11" t="s">
        <v>7</v>
      </c>
      <c r="L31" s="130">
        <f>'配合'!N4</f>
        <v>-7558.404788973581</v>
      </c>
      <c r="M31" s="13"/>
    </row>
    <row r="32" spans="6:13" ht="15" thickBot="1" thickTop="1">
      <c r="F32" s="459" t="str">
        <f>'操業条件'!B21</f>
        <v>原単位　（溶解　ｔ/製品t）</v>
      </c>
      <c r="G32" s="427"/>
      <c r="H32" s="47">
        <f>'操業条件'!C21</f>
        <v>2.1121151673733745</v>
      </c>
      <c r="I32" s="47">
        <f>'操業条件'!D21</f>
        <v>1.7599888296228852</v>
      </c>
      <c r="J32" s="34"/>
      <c r="K32" s="11" t="s">
        <v>13</v>
      </c>
      <c r="L32" s="130">
        <f>'配合'!N5</f>
        <v>-20391.387709963165</v>
      </c>
      <c r="M32" s="13"/>
    </row>
    <row r="33" spans="1:12" ht="15" thickTop="1">
      <c r="A33" t="s">
        <v>59</v>
      </c>
      <c r="F33" s="6"/>
      <c r="G33" s="6"/>
      <c r="H33" s="6"/>
      <c r="I33" s="6"/>
      <c r="K33" s="18"/>
      <c r="L33" s="18"/>
    </row>
    <row r="34" spans="1:10" ht="14.25">
      <c r="A34" s="86" t="s">
        <v>241</v>
      </c>
      <c r="B34" s="43"/>
      <c r="C34" s="43"/>
      <c r="D34" s="43"/>
      <c r="E34" s="43"/>
      <c r="F34" s="43"/>
      <c r="G34" s="43"/>
      <c r="H34" s="43"/>
      <c r="I34" s="43"/>
      <c r="J34" s="43"/>
    </row>
    <row r="35" spans="1:10" ht="14.25">
      <c r="A35" s="43"/>
      <c r="B35" s="43"/>
      <c r="C35" s="43"/>
      <c r="D35" s="43"/>
      <c r="E35" s="43"/>
      <c r="F35" s="43"/>
      <c r="G35" s="43"/>
      <c r="H35" s="43"/>
      <c r="I35" s="43"/>
      <c r="J35" s="43"/>
    </row>
    <row r="36" spans="1:10" ht="14.25">
      <c r="A36" s="86" t="s">
        <v>242</v>
      </c>
      <c r="B36" s="43"/>
      <c r="C36" s="43"/>
      <c r="D36" s="43"/>
      <c r="E36" s="43"/>
      <c r="F36" s="43"/>
      <c r="G36" s="43"/>
      <c r="H36" s="43"/>
      <c r="I36" s="43"/>
      <c r="J36" s="43"/>
    </row>
    <row r="37" spans="1:10" ht="14.25">
      <c r="A37" s="43"/>
      <c r="B37" s="86" t="s">
        <v>243</v>
      </c>
      <c r="C37" s="43"/>
      <c r="D37" s="43"/>
      <c r="E37" s="43"/>
      <c r="F37" s="43"/>
      <c r="G37" s="43"/>
      <c r="H37" s="43"/>
      <c r="I37" s="43"/>
      <c r="J37" s="43"/>
    </row>
    <row r="38" spans="1:10" ht="14.25">
      <c r="A38" s="43"/>
      <c r="B38" s="86" t="s">
        <v>244</v>
      </c>
      <c r="C38" s="43"/>
      <c r="D38" s="43"/>
      <c r="E38" s="43"/>
      <c r="F38" s="43"/>
      <c r="G38" s="43"/>
      <c r="H38" s="43"/>
      <c r="I38" s="43"/>
      <c r="J38" s="43"/>
    </row>
    <row r="40" ht="14.25">
      <c r="A40" s="88" t="s">
        <v>245</v>
      </c>
    </row>
  </sheetData>
  <mergeCells count="4">
    <mergeCell ref="D4:E4"/>
    <mergeCell ref="F4:G4"/>
    <mergeCell ref="H4:I4"/>
    <mergeCell ref="J4:K4"/>
  </mergeCells>
  <printOptions/>
  <pageMargins left="0.5" right="0.5861111111111111" top="0.7875" bottom="0.586111111111111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1"/>
  <sheetViews>
    <sheetView showGridLines="0" showOutlineSymbols="0" workbookViewId="0" topLeftCell="A1">
      <selection activeCell="E24" sqref="E24"/>
    </sheetView>
  </sheetViews>
  <sheetFormatPr defaultColWidth="9.00390625" defaultRowHeight="14.25"/>
  <cols>
    <col min="1" max="2" width="8.75390625" style="0" customWidth="1"/>
    <col min="3" max="3" width="15.375" style="0" customWidth="1"/>
    <col min="4" max="10" width="10.375" style="0" customWidth="1"/>
    <col min="11" max="11" width="8.75390625" style="0" customWidth="1"/>
    <col min="12" max="13" width="10.50390625" style="0" customWidth="1"/>
    <col min="14" max="16384" width="10.75390625" style="0" customWidth="1"/>
  </cols>
  <sheetData>
    <row r="1" spans="9:10" ht="13.5" customHeight="1">
      <c r="I1" s="8" t="s">
        <v>240</v>
      </c>
      <c r="J1" s="9"/>
    </row>
    <row r="2" spans="3:11" ht="15.75">
      <c r="C2" s="24" t="s">
        <v>246</v>
      </c>
      <c r="D2" s="25"/>
      <c r="E2" s="25"/>
      <c r="I2" s="11" t="s">
        <v>7</v>
      </c>
      <c r="J2" s="12">
        <f>'溶解原料'!L31</f>
        <v>-7558.404788973581</v>
      </c>
      <c r="K2" s="13"/>
    </row>
    <row r="3" spans="3:11" ht="14.25">
      <c r="C3" s="7" t="s">
        <v>0</v>
      </c>
      <c r="D3" t="s">
        <v>1</v>
      </c>
      <c r="F3" s="410" t="s">
        <v>2</v>
      </c>
      <c r="G3" t="s">
        <v>3</v>
      </c>
      <c r="I3" s="11" t="s">
        <v>13</v>
      </c>
      <c r="J3" s="12">
        <f>'溶解原料'!L32</f>
        <v>-20391.387709963165</v>
      </c>
      <c r="K3" s="13"/>
    </row>
    <row r="4" spans="9:10" ht="12.75" customHeight="1">
      <c r="I4" s="18"/>
      <c r="J4" s="18"/>
    </row>
    <row r="5" spans="2:11" ht="14.25">
      <c r="B5" s="394"/>
      <c r="C5" s="398" t="s">
        <v>227</v>
      </c>
      <c r="D5" s="399" t="s">
        <v>247</v>
      </c>
      <c r="E5" s="402" t="s">
        <v>248</v>
      </c>
      <c r="F5" s="399" t="s">
        <v>249</v>
      </c>
      <c r="G5" s="399" t="s">
        <v>250</v>
      </c>
      <c r="H5" s="402"/>
      <c r="I5" s="399" t="s">
        <v>251</v>
      </c>
      <c r="J5" s="401"/>
      <c r="K5" s="15"/>
    </row>
    <row r="6" spans="2:11" ht="14.25">
      <c r="B6" s="403"/>
      <c r="C6" s="428"/>
      <c r="D6" s="500" t="str">
        <f>'配合'!L11</f>
        <v>方案歩留り５０％</v>
      </c>
      <c r="E6" s="471" t="str">
        <f>'配合'!M11</f>
        <v>方案歩留り６０％</v>
      </c>
      <c r="F6" s="424" t="s">
        <v>252</v>
      </c>
      <c r="G6" s="500" t="str">
        <f>'配合'!L11</f>
        <v>方案歩留り５０％</v>
      </c>
      <c r="H6" s="471" t="str">
        <f>'配合'!M11</f>
        <v>方案歩留り６０％</v>
      </c>
      <c r="I6" s="500" t="str">
        <f>'配合'!L11</f>
        <v>方案歩留り５０％</v>
      </c>
      <c r="J6" s="471" t="str">
        <f>'配合'!M11</f>
        <v>方案歩留り６０％</v>
      </c>
      <c r="K6" s="15"/>
    </row>
    <row r="7" spans="2:11" ht="14.25">
      <c r="B7" s="399" t="s">
        <v>233</v>
      </c>
      <c r="C7" s="398" t="s">
        <v>234</v>
      </c>
      <c r="D7" s="444">
        <f>1000*'配合'!I6/100</f>
        <v>13.5</v>
      </c>
      <c r="E7" s="445">
        <f>D7</f>
        <v>13.5</v>
      </c>
      <c r="F7" s="536">
        <v>190</v>
      </c>
      <c r="G7" s="438">
        <f>D7*F7</f>
        <v>2565</v>
      </c>
      <c r="H7" s="439">
        <f>E7*F7</f>
        <v>2565</v>
      </c>
      <c r="I7" s="447">
        <f>G7*I39</f>
        <v>5417.575404312705</v>
      </c>
      <c r="J7" s="448">
        <f>H7*J39</f>
        <v>4514.3713479827</v>
      </c>
      <c r="K7" s="15"/>
    </row>
    <row r="8" spans="2:11" ht="14.25">
      <c r="B8" s="424" t="s">
        <v>253</v>
      </c>
      <c r="C8" s="406" t="s">
        <v>15</v>
      </c>
      <c r="D8" s="415">
        <f>1000*'配合'!I7/100</f>
        <v>4</v>
      </c>
      <c r="E8" s="416">
        <f>D8</f>
        <v>4</v>
      </c>
      <c r="F8" s="541">
        <v>90</v>
      </c>
      <c r="G8" s="440">
        <f>D8*F8</f>
        <v>360</v>
      </c>
      <c r="H8" s="441">
        <f>E8*F8</f>
        <v>360</v>
      </c>
      <c r="I8" s="449">
        <f>G8*I39</f>
        <v>760.3614602544149</v>
      </c>
      <c r="J8" s="450">
        <f>H8*J39</f>
        <v>633.5959786642387</v>
      </c>
      <c r="K8" s="15"/>
    </row>
    <row r="9" spans="2:11" ht="14.25">
      <c r="B9" s="403"/>
      <c r="C9" s="423" t="s">
        <v>254</v>
      </c>
      <c r="D9" s="446"/>
      <c r="E9" s="432"/>
      <c r="F9" s="549"/>
      <c r="G9" s="440">
        <f>SUM(G7:G8)</f>
        <v>2925</v>
      </c>
      <c r="H9" s="441">
        <f>SUM(H7:H8)</f>
        <v>2925</v>
      </c>
      <c r="I9" s="449">
        <f>G9*I39</f>
        <v>6177.93686456712</v>
      </c>
      <c r="J9" s="450">
        <f>H9*J39</f>
        <v>5147.967326646939</v>
      </c>
      <c r="K9" s="15"/>
    </row>
    <row r="10" spans="2:11" ht="13.5" customHeight="1">
      <c r="B10" s="399" t="s">
        <v>255</v>
      </c>
      <c r="C10" s="398" t="s">
        <v>256</v>
      </c>
      <c r="D10" s="536">
        <v>100000</v>
      </c>
      <c r="E10" s="535">
        <v>100000</v>
      </c>
      <c r="F10" s="444"/>
      <c r="G10" s="447">
        <f>D10/D12</f>
        <v>111.11111111111111</v>
      </c>
      <c r="H10" s="448">
        <f>E10/E12</f>
        <v>111.11111111111111</v>
      </c>
      <c r="I10" s="447">
        <f>G10*I39</f>
        <v>234.67946304148606</v>
      </c>
      <c r="J10" s="448">
        <f>H10*J39</f>
        <v>195.55431440254281</v>
      </c>
      <c r="K10" s="15"/>
    </row>
    <row r="11" spans="2:11" ht="14.25">
      <c r="B11" s="424" t="s">
        <v>257</v>
      </c>
      <c r="C11" s="406" t="s">
        <v>258</v>
      </c>
      <c r="D11" s="541">
        <v>300</v>
      </c>
      <c r="E11" s="539">
        <v>300</v>
      </c>
      <c r="F11" s="415"/>
      <c r="G11" s="415"/>
      <c r="H11" s="416"/>
      <c r="I11" s="449"/>
      <c r="J11" s="450"/>
      <c r="K11" s="15"/>
    </row>
    <row r="12" spans="2:11" ht="14.25">
      <c r="B12" s="403"/>
      <c r="C12" s="406" t="s">
        <v>259</v>
      </c>
      <c r="D12" s="415">
        <f>D11*'配合'!M9/1000</f>
        <v>900</v>
      </c>
      <c r="E12" s="416">
        <f>E11*'配合'!M9/1000</f>
        <v>900</v>
      </c>
      <c r="F12" s="446"/>
      <c r="G12" s="415"/>
      <c r="H12" s="416"/>
      <c r="I12" s="449"/>
      <c r="J12" s="450"/>
      <c r="K12" s="15"/>
    </row>
    <row r="13" spans="2:11" ht="14.25">
      <c r="B13" s="460" t="s">
        <v>260</v>
      </c>
      <c r="C13" s="408" t="s">
        <v>256</v>
      </c>
      <c r="D13" s="548">
        <v>150000</v>
      </c>
      <c r="E13" s="540">
        <v>150000</v>
      </c>
      <c r="F13" s="436"/>
      <c r="G13" s="413">
        <f>D13/D15</f>
        <v>125</v>
      </c>
      <c r="H13" s="414">
        <f>E13/E15</f>
        <v>125</v>
      </c>
      <c r="I13" s="451">
        <f>G13*I39</f>
        <v>264.0143959216718</v>
      </c>
      <c r="J13" s="452">
        <f>H13*J39</f>
        <v>219.99860370286063</v>
      </c>
      <c r="K13" s="15"/>
    </row>
    <row r="14" spans="2:11" ht="14.25">
      <c r="B14" s="424" t="s">
        <v>257</v>
      </c>
      <c r="C14" s="406" t="s">
        <v>261</v>
      </c>
      <c r="D14" s="541">
        <v>400</v>
      </c>
      <c r="E14" s="539">
        <v>400</v>
      </c>
      <c r="F14" s="446"/>
      <c r="G14" s="415"/>
      <c r="H14" s="416"/>
      <c r="I14" s="449"/>
      <c r="J14" s="450"/>
      <c r="K14" s="15"/>
    </row>
    <row r="15" spans="2:11" ht="14.25">
      <c r="B15" s="403"/>
      <c r="C15" s="406" t="s">
        <v>259</v>
      </c>
      <c r="D15" s="415">
        <f>D14*'配合'!M9/1000</f>
        <v>1200</v>
      </c>
      <c r="E15" s="416">
        <f>E14*'配合'!M9/1000</f>
        <v>1200</v>
      </c>
      <c r="F15" s="446"/>
      <c r="G15" s="446"/>
      <c r="H15" s="432"/>
      <c r="I15" s="449"/>
      <c r="J15" s="450"/>
      <c r="K15" s="15"/>
    </row>
    <row r="16" spans="2:11" ht="14.25">
      <c r="B16" s="460" t="s">
        <v>262</v>
      </c>
      <c r="C16" s="408" t="s">
        <v>263</v>
      </c>
      <c r="D16" s="548">
        <v>40</v>
      </c>
      <c r="E16" s="540">
        <v>40</v>
      </c>
      <c r="F16" s="548">
        <v>20</v>
      </c>
      <c r="G16" s="451">
        <f>G21*F16</f>
        <v>564.9717514124294</v>
      </c>
      <c r="H16" s="452">
        <f>H21*F16</f>
        <v>564.9717514124294</v>
      </c>
      <c r="I16" s="451">
        <f>G16*I39</f>
        <v>1193.2854052956918</v>
      </c>
      <c r="J16" s="452">
        <f>H16*J39</f>
        <v>994.3439715383532</v>
      </c>
      <c r="K16" s="15"/>
    </row>
    <row r="17" spans="2:14" ht="14.25">
      <c r="B17" s="403"/>
      <c r="C17" s="459" t="s">
        <v>264</v>
      </c>
      <c r="D17" s="415">
        <f>'方案歩留り設定'!C10</f>
        <v>6</v>
      </c>
      <c r="E17" s="415">
        <f>'方案歩留り設定'!D10</f>
        <v>6</v>
      </c>
      <c r="F17" s="432"/>
      <c r="G17" s="446"/>
      <c r="H17" s="432"/>
      <c r="I17" s="449"/>
      <c r="J17" s="450"/>
      <c r="K17" s="15"/>
      <c r="L17" s="568" t="s">
        <v>265</v>
      </c>
      <c r="M17" s="569"/>
      <c r="N17" s="34"/>
    </row>
    <row r="18" spans="2:14" ht="14.25">
      <c r="B18" s="461" t="s">
        <v>266</v>
      </c>
      <c r="C18" s="406" t="s">
        <v>267</v>
      </c>
      <c r="D18" s="415">
        <f>'方案歩留り設定'!C11</f>
        <v>70.8</v>
      </c>
      <c r="E18" s="415">
        <f>'方案歩留り設定'!D11</f>
        <v>59</v>
      </c>
      <c r="F18" s="458" t="s">
        <v>268</v>
      </c>
      <c r="G18" s="453"/>
      <c r="H18" s="454"/>
      <c r="I18" s="455"/>
      <c r="J18" s="456"/>
      <c r="K18" s="15"/>
      <c r="L18" s="501" t="str">
        <f>D6</f>
        <v>方案歩留り５０％</v>
      </c>
      <c r="M18" s="501" t="str">
        <f>E6</f>
        <v>方案歩留り６０％</v>
      </c>
      <c r="N18" s="34"/>
    </row>
    <row r="19" spans="2:14" ht="14.25">
      <c r="B19" s="461" t="s">
        <v>269</v>
      </c>
      <c r="C19" s="406" t="s">
        <v>270</v>
      </c>
      <c r="D19" s="415">
        <f>'方案歩留り設定'!C9</f>
        <v>5.9</v>
      </c>
      <c r="E19" s="415">
        <f>'方案歩留り設定'!D9</f>
        <v>5.9</v>
      </c>
      <c r="F19" s="458" t="s">
        <v>271</v>
      </c>
      <c r="G19" s="453"/>
      <c r="H19" s="454"/>
      <c r="I19" s="455"/>
      <c r="J19" s="456"/>
      <c r="K19" s="15"/>
      <c r="L19" s="32">
        <f>D19*D17/D18*100</f>
        <v>50.000000000000014</v>
      </c>
      <c r="M19" s="32">
        <f>E19*E17/E18*100</f>
        <v>60.00000000000001</v>
      </c>
      <c r="N19" s="34"/>
    </row>
    <row r="20" spans="2:13" ht="14.25">
      <c r="B20" s="461" t="s">
        <v>272</v>
      </c>
      <c r="C20" s="406" t="s">
        <v>273</v>
      </c>
      <c r="D20" s="541">
        <v>5</v>
      </c>
      <c r="E20" s="539">
        <v>5</v>
      </c>
      <c r="F20" s="446"/>
      <c r="G20" s="446"/>
      <c r="H20" s="432"/>
      <c r="I20" s="449"/>
      <c r="J20" s="450"/>
      <c r="K20" s="15"/>
      <c r="L20" s="6"/>
      <c r="M20" s="6"/>
    </row>
    <row r="21" spans="2:11" ht="14.25">
      <c r="B21" s="403"/>
      <c r="C21" s="406" t="s">
        <v>274</v>
      </c>
      <c r="D21" s="446"/>
      <c r="E21" s="432"/>
      <c r="F21" s="446"/>
      <c r="G21" s="449">
        <f>(D16*D20/100*1000)/D18</f>
        <v>28.24858757062147</v>
      </c>
      <c r="H21" s="449">
        <f>(E16*E20/100*1000)/D18</f>
        <v>28.24858757062147</v>
      </c>
      <c r="I21" s="457">
        <f>G21*I39</f>
        <v>59.66427026478459</v>
      </c>
      <c r="J21" s="422">
        <f>H21*J39</f>
        <v>49.71719857691766</v>
      </c>
      <c r="K21" s="28" t="s">
        <v>275</v>
      </c>
    </row>
    <row r="22" spans="2:11" ht="14.25">
      <c r="B22" s="399" t="s">
        <v>276</v>
      </c>
      <c r="C22" s="426" t="s">
        <v>277</v>
      </c>
      <c r="D22" s="536">
        <v>1</v>
      </c>
      <c r="E22" s="535">
        <v>1</v>
      </c>
      <c r="F22" s="434"/>
      <c r="G22" s="444"/>
      <c r="H22" s="445"/>
      <c r="I22" s="448">
        <f>((1000/D19)/(1-'操業条件'!C10/100))*D23*D22</f>
        <v>27297.05619982159</v>
      </c>
      <c r="J22" s="448">
        <f>(1000/E19)/(1-'操業条件'!D10/100)*E23*E22</f>
        <v>27297.05619982159</v>
      </c>
      <c r="K22" s="28" t="s">
        <v>278</v>
      </c>
    </row>
    <row r="23" spans="2:11" ht="14.25">
      <c r="B23" s="403"/>
      <c r="C23" s="406" t="s">
        <v>279</v>
      </c>
      <c r="D23" s="541">
        <v>153</v>
      </c>
      <c r="E23" s="539">
        <v>153</v>
      </c>
      <c r="F23" s="446"/>
      <c r="G23" s="446"/>
      <c r="H23" s="432"/>
      <c r="I23" s="450"/>
      <c r="J23" s="450"/>
      <c r="K23" s="15"/>
    </row>
    <row r="24" spans="2:11" ht="14.25">
      <c r="B24" s="460" t="s">
        <v>280</v>
      </c>
      <c r="C24" s="408" t="s">
        <v>281</v>
      </c>
      <c r="D24" s="548">
        <v>0.01</v>
      </c>
      <c r="E24" s="540">
        <v>0.01</v>
      </c>
      <c r="F24" s="436"/>
      <c r="G24" s="413"/>
      <c r="H24" s="414"/>
      <c r="I24" s="452">
        <f>((1000/(D19*D17)/(1-'操業条件'!C10/100))*D25*D24)</f>
        <v>104.07374368123698</v>
      </c>
      <c r="J24" s="452">
        <f>((1000/(D19*E17)/(1-'操業条件'!D10/100))*D25*D24)</f>
        <v>104.07374368123698</v>
      </c>
      <c r="K24" s="15"/>
    </row>
    <row r="25" spans="2:11" ht="14.25">
      <c r="B25" s="403"/>
      <c r="C25" s="406" t="s">
        <v>282</v>
      </c>
      <c r="D25" s="541">
        <v>350</v>
      </c>
      <c r="E25" s="539">
        <v>350</v>
      </c>
      <c r="F25" s="446"/>
      <c r="G25" s="419">
        <f>D24/D18*1000</f>
        <v>0.14124293785310735</v>
      </c>
      <c r="H25" s="412">
        <f>E24/E18*1000</f>
        <v>0.16949152542372883</v>
      </c>
      <c r="I25" s="412">
        <f>G25*I39</f>
        <v>0.29832135132392296</v>
      </c>
      <c r="J25" s="412">
        <f>H25*J39</f>
        <v>0.298303191461506</v>
      </c>
      <c r="K25" s="28" t="s">
        <v>283</v>
      </c>
    </row>
    <row r="26" spans="2:10" ht="14.25">
      <c r="B26" s="22"/>
      <c r="C26" s="22"/>
      <c r="D26" s="22"/>
      <c r="E26" s="22"/>
      <c r="F26" s="22"/>
      <c r="G26" s="22"/>
      <c r="H26" s="22"/>
      <c r="I26" s="22"/>
      <c r="J26" s="22"/>
    </row>
    <row r="27" ht="14.25">
      <c r="C27" s="8" t="s">
        <v>284</v>
      </c>
    </row>
    <row r="30" spans="4:5" ht="14.25">
      <c r="D30" s="9"/>
      <c r="E30" s="9"/>
    </row>
    <row r="31" ht="14.25">
      <c r="A31" t="s">
        <v>59</v>
      </c>
    </row>
    <row r="32" spans="1:5" ht="14.25">
      <c r="A32" s="86" t="s">
        <v>285</v>
      </c>
      <c r="B32" s="43"/>
      <c r="C32" s="43"/>
      <c r="D32" s="43"/>
      <c r="E32" s="43"/>
    </row>
    <row r="33" spans="1:5" ht="14.25">
      <c r="A33" s="43"/>
      <c r="B33" s="43"/>
      <c r="C33" s="43"/>
      <c r="D33" s="43"/>
      <c r="E33" s="43"/>
    </row>
    <row r="34" spans="1:5" ht="14.25">
      <c r="A34" s="86" t="s">
        <v>286</v>
      </c>
      <c r="B34" s="43"/>
      <c r="C34" s="43"/>
      <c r="D34" s="43"/>
      <c r="E34" s="43"/>
    </row>
    <row r="35" ht="14.25">
      <c r="A35" s="88" t="s">
        <v>287</v>
      </c>
    </row>
    <row r="37" spans="7:11" ht="14.25">
      <c r="G37" s="503"/>
      <c r="H37" s="502"/>
      <c r="I37" s="147" t="str">
        <f>'配合'!L11</f>
        <v>方案歩留り５０％</v>
      </c>
      <c r="J37" s="147" t="str">
        <f>'配合'!M11</f>
        <v>方案歩留り６０％</v>
      </c>
      <c r="K37" s="34"/>
    </row>
    <row r="38" spans="7:11" ht="14.25">
      <c r="G38" s="570" t="str">
        <f>'操業条件'!B20</f>
        <v>戻り原単位　（戻り　t/溶解t）</v>
      </c>
      <c r="H38" s="571"/>
      <c r="I38" s="47">
        <f>'操業条件'!C20</f>
        <v>0.5232968234725764</v>
      </c>
      <c r="J38" s="47">
        <f>'操業条件'!D20</f>
        <v>0.42863110959285106</v>
      </c>
      <c r="K38" s="34"/>
    </row>
    <row r="39" spans="7:11" ht="14.25">
      <c r="G39" s="570" t="str">
        <f>'操業条件'!B21</f>
        <v>原単位　（溶解　ｔ/製品t）</v>
      </c>
      <c r="H39" s="571"/>
      <c r="I39" s="47">
        <f>'操業条件'!C21</f>
        <v>2.1121151673733745</v>
      </c>
      <c r="J39" s="47">
        <f>'操業条件'!D21</f>
        <v>1.7599888296228852</v>
      </c>
      <c r="K39" s="34"/>
    </row>
    <row r="40" spans="7:11" ht="14.25">
      <c r="G40" s="570" t="s">
        <v>288</v>
      </c>
      <c r="H40" s="571"/>
      <c r="I40" s="98">
        <f>1-'操業条件'!C10/100</f>
        <v>0.95</v>
      </c>
      <c r="J40" s="98">
        <f>1-'操業条件'!D10/100</f>
        <v>0.95</v>
      </c>
      <c r="K40" s="34"/>
    </row>
    <row r="41" spans="8:10" ht="14.25">
      <c r="H41" s="499"/>
      <c r="I41" s="6"/>
      <c r="J41" s="6"/>
    </row>
  </sheetData>
  <sheetProtection sheet="1" objects="1" scenarios="1"/>
  <mergeCells count="4">
    <mergeCell ref="L17:M17"/>
    <mergeCell ref="G38:H38"/>
    <mergeCell ref="G39:H39"/>
    <mergeCell ref="G40:H40"/>
  </mergeCells>
  <printOptions/>
  <pageMargins left="0.5" right="0.5861111111111111" top="0.7875" bottom="0.586111111111111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K35"/>
  <sheetViews>
    <sheetView showGridLines="0" showOutlineSymbols="0" zoomScale="120" zoomScaleNormal="120" workbookViewId="0" topLeftCell="A1">
      <selection activeCell="D8" sqref="D8"/>
    </sheetView>
  </sheetViews>
  <sheetFormatPr defaultColWidth="9.00390625" defaultRowHeight="14.25"/>
  <cols>
    <col min="1" max="1" width="6.75390625" style="0" customWidth="1"/>
    <col min="2" max="2" width="10.75390625" style="0" customWidth="1"/>
    <col min="3" max="3" width="11.00390625" style="0" customWidth="1"/>
    <col min="4" max="6" width="10.75390625" style="0" customWidth="1"/>
    <col min="7" max="7" width="5.75390625" style="0" customWidth="1"/>
    <col min="8" max="8" width="10.75390625" style="0" customWidth="1"/>
    <col min="9" max="9" width="8.75390625" style="0" customWidth="1"/>
    <col min="10" max="10" width="7.75390625" style="0" customWidth="1"/>
    <col min="11" max="16384" width="10.75390625" style="0" customWidth="1"/>
  </cols>
  <sheetData>
    <row r="2" spans="2:9" ht="15.75">
      <c r="B2" s="24" t="s">
        <v>289</v>
      </c>
      <c r="I2" s="93" t="s">
        <v>290</v>
      </c>
    </row>
    <row r="3" spans="2:8" ht="14.25">
      <c r="B3" s="7" t="s">
        <v>0</v>
      </c>
      <c r="C3" t="s">
        <v>1</v>
      </c>
      <c r="E3" s="410" t="s">
        <v>2</v>
      </c>
      <c r="F3" t="s">
        <v>3</v>
      </c>
      <c r="H3" t="s">
        <v>291</v>
      </c>
    </row>
    <row r="4" spans="8:11" ht="14.25">
      <c r="H4" s="406" t="s">
        <v>292</v>
      </c>
      <c r="I4" s="406" t="s">
        <v>293</v>
      </c>
      <c r="J4" s="406" t="s">
        <v>294</v>
      </c>
      <c r="K4" s="34"/>
    </row>
    <row r="5" spans="2:11" ht="14.25">
      <c r="B5" s="399" t="s">
        <v>295</v>
      </c>
      <c r="C5" s="462"/>
      <c r="D5" s="398" t="s">
        <v>296</v>
      </c>
      <c r="E5" s="398" t="s">
        <v>297</v>
      </c>
      <c r="F5" s="398" t="s">
        <v>298</v>
      </c>
      <c r="G5" s="15"/>
      <c r="H5" s="429" t="s">
        <v>299</v>
      </c>
      <c r="I5" s="429" t="s">
        <v>300</v>
      </c>
      <c r="J5" s="429" t="s">
        <v>300</v>
      </c>
      <c r="K5" s="34"/>
    </row>
    <row r="6" spans="2:11" ht="14.25">
      <c r="B6" s="500" t="str">
        <f>D9</f>
        <v>方案歩留り５０％</v>
      </c>
      <c r="C6" s="471" t="str">
        <f>E9</f>
        <v>方案歩留り６０％</v>
      </c>
      <c r="D6" s="429" t="s">
        <v>301</v>
      </c>
      <c r="E6" s="429" t="s">
        <v>302</v>
      </c>
      <c r="F6" s="429" t="s">
        <v>303</v>
      </c>
      <c r="G6" s="15"/>
      <c r="H6" s="428"/>
      <c r="I6" s="429" t="s">
        <v>304</v>
      </c>
      <c r="J6" s="429" t="s">
        <v>305</v>
      </c>
      <c r="K6" s="34"/>
    </row>
    <row r="7" spans="2:11" ht="14.25">
      <c r="B7" s="541">
        <v>4200</v>
      </c>
      <c r="C7" s="539">
        <v>4200</v>
      </c>
      <c r="D7" s="539">
        <v>85</v>
      </c>
      <c r="E7" s="539">
        <v>1740</v>
      </c>
      <c r="F7" s="541">
        <v>9.79</v>
      </c>
      <c r="G7" s="15"/>
      <c r="H7" s="406" t="s">
        <v>306</v>
      </c>
      <c r="I7" s="98">
        <v>1260</v>
      </c>
      <c r="J7" s="98">
        <v>10.68</v>
      </c>
      <c r="K7" s="34"/>
    </row>
    <row r="8" spans="2:11" ht="14.25">
      <c r="B8" s="22"/>
      <c r="C8" s="22"/>
      <c r="D8" s="22"/>
      <c r="E8" s="22"/>
      <c r="F8" s="22"/>
      <c r="H8" s="406" t="s">
        <v>307</v>
      </c>
      <c r="I8" s="98">
        <v>1780</v>
      </c>
      <c r="J8" s="98">
        <v>10.08</v>
      </c>
      <c r="K8" s="34"/>
    </row>
    <row r="9" spans="2:11" ht="14.25">
      <c r="B9" s="394"/>
      <c r="C9" s="401"/>
      <c r="D9" s="493" t="str">
        <f>'配合'!L11</f>
        <v>方案歩留り５０％</v>
      </c>
      <c r="E9" s="493" t="str">
        <f>'配合'!M11</f>
        <v>方案歩留り６０％</v>
      </c>
      <c r="F9" s="398" t="s">
        <v>230</v>
      </c>
      <c r="G9" s="15"/>
      <c r="H9" s="406" t="s">
        <v>308</v>
      </c>
      <c r="I9" s="98">
        <v>1740</v>
      </c>
      <c r="J9" s="98">
        <v>9.79</v>
      </c>
      <c r="K9" s="34"/>
    </row>
    <row r="10" spans="2:11" ht="14.25">
      <c r="B10" s="400" t="s">
        <v>309</v>
      </c>
      <c r="C10" s="406" t="s">
        <v>310</v>
      </c>
      <c r="D10" s="539">
        <v>552.7</v>
      </c>
      <c r="E10" s="539">
        <v>552.7</v>
      </c>
      <c r="F10" s="416">
        <f>E10-D10</f>
        <v>0</v>
      </c>
      <c r="G10" s="15"/>
      <c r="H10" s="406" t="s">
        <v>311</v>
      </c>
      <c r="I10" s="98">
        <v>1740</v>
      </c>
      <c r="J10" s="98">
        <v>9.44</v>
      </c>
      <c r="K10" s="34"/>
    </row>
    <row r="11" spans="2:10" ht="14.25">
      <c r="B11" s="424" t="s">
        <v>312</v>
      </c>
      <c r="C11" s="406" t="s">
        <v>313</v>
      </c>
      <c r="D11" s="539">
        <v>173.1</v>
      </c>
      <c r="E11" s="539">
        <v>173.1</v>
      </c>
      <c r="F11" s="416">
        <f>E11-D11</f>
        <v>0</v>
      </c>
      <c r="G11" s="15"/>
      <c r="H11" s="6"/>
      <c r="I11" s="6"/>
      <c r="J11" s="6"/>
    </row>
    <row r="12" spans="2:7" ht="14.25">
      <c r="B12" s="403"/>
      <c r="C12" s="433" t="s">
        <v>314</v>
      </c>
      <c r="D12" s="463">
        <f>SUM(D10:D11)</f>
        <v>725.8000000000001</v>
      </c>
      <c r="E12" s="463">
        <f>SUM(E10:E11)</f>
        <v>725.8000000000001</v>
      </c>
      <c r="F12" s="463">
        <f>SUM(F10:F11)</f>
        <v>0</v>
      </c>
      <c r="G12" s="15"/>
    </row>
    <row r="13" spans="2:7" ht="14.25">
      <c r="B13" s="399" t="s">
        <v>315</v>
      </c>
      <c r="C13" s="402" t="s">
        <v>316</v>
      </c>
      <c r="D13" s="439">
        <f>D19/'操業条件'!C15</f>
        <v>12876.718295373266</v>
      </c>
      <c r="E13" s="439">
        <f>E19/'操業条件'!D15</f>
        <v>12876.719884549475</v>
      </c>
      <c r="F13" s="439">
        <f>E13-D13</f>
        <v>0.001589176208653953</v>
      </c>
      <c r="G13" s="15"/>
    </row>
    <row r="14" spans="2:7" ht="14.25">
      <c r="B14" s="400" t="s">
        <v>317</v>
      </c>
      <c r="C14" s="427"/>
      <c r="D14" s="441">
        <f>D13*D21</f>
        <v>27197.1120176521</v>
      </c>
      <c r="E14" s="441">
        <f>E13*E21</f>
        <v>22662.883158989964</v>
      </c>
      <c r="F14" s="441">
        <f>E14-D14</f>
        <v>-4534.228858662136</v>
      </c>
      <c r="G14" s="15"/>
    </row>
    <row r="15" spans="2:9" ht="14.25">
      <c r="B15" s="22"/>
      <c r="C15" s="22"/>
      <c r="D15" s="22"/>
      <c r="E15" s="22"/>
      <c r="F15" s="22"/>
      <c r="H15" s="8" t="s">
        <v>240</v>
      </c>
      <c r="I15" s="9"/>
    </row>
    <row r="16" spans="2:10" ht="14.25">
      <c r="B16" s="399" t="s">
        <v>318</v>
      </c>
      <c r="C16" s="401"/>
      <c r="D16" s="493" t="str">
        <f>'配合'!L11</f>
        <v>方案歩留り５０％</v>
      </c>
      <c r="E16" s="493" t="str">
        <f>'配合'!M11</f>
        <v>方案歩留り６０％</v>
      </c>
      <c r="F16" s="398" t="s">
        <v>319</v>
      </c>
      <c r="G16" s="15"/>
      <c r="H16" s="11" t="s">
        <v>7</v>
      </c>
      <c r="I16" s="12">
        <f>'球化、他'!J2</f>
        <v>-7558.404788973581</v>
      </c>
      <c r="J16" s="13"/>
    </row>
    <row r="17" spans="2:10" ht="14.25">
      <c r="B17" s="400" t="s">
        <v>320</v>
      </c>
      <c r="C17" s="427"/>
      <c r="D17" s="441">
        <f>B7*E7*(1.85-(D7/100))</f>
        <v>7308000</v>
      </c>
      <c r="E17" s="441">
        <f>C7*E7*(1.85-(D7/100))</f>
        <v>7308000</v>
      </c>
      <c r="F17" s="441">
        <f>E17-D17</f>
        <v>0</v>
      </c>
      <c r="G17" s="15"/>
      <c r="H17" s="11" t="s">
        <v>13</v>
      </c>
      <c r="I17" s="12">
        <f>'球化、他'!J3</f>
        <v>-20391.387709963165</v>
      </c>
      <c r="J17" s="13"/>
    </row>
    <row r="18" spans="2:9" ht="14.25">
      <c r="B18" s="400" t="s">
        <v>321</v>
      </c>
      <c r="C18" s="427"/>
      <c r="D18" s="441">
        <f>'操業条件'!C15*D12*F7</f>
        <v>8997810.933287175</v>
      </c>
      <c r="E18" s="441">
        <f>'操業条件'!D15*E12*F7</f>
        <v>8997808.455594325</v>
      </c>
      <c r="F18" s="441">
        <f>E18-D18</f>
        <v>-2.477692849934101</v>
      </c>
      <c r="G18" s="15"/>
      <c r="H18" s="18"/>
      <c r="I18" s="18"/>
    </row>
    <row r="19" spans="2:7" ht="14.25">
      <c r="B19" s="460" t="s">
        <v>322</v>
      </c>
      <c r="C19" s="433"/>
      <c r="D19" s="443">
        <f>SUM(D17:D18)</f>
        <v>16305810.933287175</v>
      </c>
      <c r="E19" s="443">
        <f>SUM(E17:E18)</f>
        <v>16305808.455594325</v>
      </c>
      <c r="F19" s="443">
        <f>E19-D19</f>
        <v>-2.477692849934101</v>
      </c>
      <c r="G19" s="15"/>
    </row>
    <row r="20" spans="2:6" ht="14.25">
      <c r="B20" s="22"/>
      <c r="C20" s="22"/>
      <c r="D20" s="22"/>
      <c r="E20" s="22"/>
      <c r="F20" s="22"/>
    </row>
    <row r="21" spans="2:6" ht="14.25">
      <c r="B21" s="406" t="str">
        <f>'操業条件'!B21</f>
        <v>原単位　（溶解　ｔ/製品t）</v>
      </c>
      <c r="C21" s="423"/>
      <c r="D21" s="47">
        <f>'操業条件'!C21</f>
        <v>2.1121151673733745</v>
      </c>
      <c r="E21" s="47">
        <f>'操業条件'!D21</f>
        <v>1.7599888296228852</v>
      </c>
      <c r="F21" s="34"/>
    </row>
    <row r="22" spans="2:9" ht="14.25">
      <c r="B22" s="6"/>
      <c r="C22" s="6"/>
      <c r="D22" s="6"/>
      <c r="E22" s="6"/>
      <c r="G22" s="8" t="s">
        <v>323</v>
      </c>
      <c r="H22" s="9"/>
      <c r="I22" s="9"/>
    </row>
    <row r="23" spans="2:5" ht="14.25">
      <c r="B23" t="s">
        <v>324</v>
      </c>
      <c r="C23" s="94" t="s">
        <v>325</v>
      </c>
      <c r="D23" s="75">
        <f>D19/'操業条件'!C15/D12</f>
        <v>17.741414019527785</v>
      </c>
      <c r="E23" s="75">
        <f>E19/'操業条件'!D15/E12</f>
        <v>17.74141620907891</v>
      </c>
    </row>
    <row r="25" ht="14.25">
      <c r="A25" t="s">
        <v>59</v>
      </c>
    </row>
    <row r="26" ht="14.25">
      <c r="A26" t="s">
        <v>326</v>
      </c>
    </row>
    <row r="27" ht="14.25">
      <c r="A27" t="s">
        <v>327</v>
      </c>
    </row>
    <row r="29" spans="1:6" ht="14.25">
      <c r="A29" s="86" t="s">
        <v>328</v>
      </c>
      <c r="B29" s="43"/>
      <c r="C29" s="43"/>
      <c r="D29" s="43"/>
      <c r="E29" s="43"/>
      <c r="F29" s="43"/>
    </row>
    <row r="30" spans="1:6" ht="14.25">
      <c r="A30" s="43"/>
      <c r="B30" s="43"/>
      <c r="C30" s="43"/>
      <c r="D30" s="43"/>
      <c r="E30" s="43"/>
      <c r="F30" s="43"/>
    </row>
    <row r="31" spans="1:6" ht="14.25">
      <c r="A31" s="86" t="s">
        <v>329</v>
      </c>
      <c r="B31" s="43"/>
      <c r="C31" s="43"/>
      <c r="D31" s="43"/>
      <c r="E31" s="43"/>
      <c r="F31" s="43"/>
    </row>
    <row r="32" spans="1:6" ht="14.25">
      <c r="A32" s="43"/>
      <c r="B32" s="43"/>
      <c r="C32" s="43"/>
      <c r="D32" s="43"/>
      <c r="E32" s="43"/>
      <c r="F32" s="43"/>
    </row>
    <row r="33" spans="1:6" ht="14.25">
      <c r="A33" s="86" t="s">
        <v>330</v>
      </c>
      <c r="B33" s="43"/>
      <c r="C33" s="43"/>
      <c r="D33" s="43"/>
      <c r="E33" s="43"/>
      <c r="F33" s="43"/>
    </row>
    <row r="34" spans="1:6" ht="14.25">
      <c r="A34" s="43"/>
      <c r="B34" s="43"/>
      <c r="C34" s="43"/>
      <c r="D34" s="43"/>
      <c r="E34" s="43"/>
      <c r="F34" s="43"/>
    </row>
    <row r="35" spans="1:6" ht="14.25">
      <c r="A35" s="86" t="s">
        <v>331</v>
      </c>
      <c r="B35" s="43"/>
      <c r="C35" s="43"/>
      <c r="D35" s="43"/>
      <c r="E35" s="43"/>
      <c r="F35" s="43"/>
    </row>
  </sheetData>
  <sheetProtection sheet="1" objects="1" scenarios="1"/>
  <printOptions/>
  <pageMargins left="0.5" right="0.5861111111111111" top="0.7875" bottom="0.586111111111111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AD67"/>
  <sheetViews>
    <sheetView showGridLines="0" showOutlineSymbols="0" workbookViewId="0" topLeftCell="A1">
      <selection activeCell="E30" sqref="E30"/>
    </sheetView>
  </sheetViews>
  <sheetFormatPr defaultColWidth="9.00390625" defaultRowHeight="14.25"/>
  <cols>
    <col min="1" max="1" width="13.00390625" style="0" customWidth="1"/>
    <col min="2" max="2" width="14.00390625" style="0" customWidth="1"/>
    <col min="3" max="3" width="13.00390625" style="0" customWidth="1"/>
    <col min="4" max="5" width="10.50390625" style="0" customWidth="1"/>
    <col min="6" max="8" width="11.125" style="0" customWidth="1"/>
    <col min="9" max="9" width="11.25390625" style="0" customWidth="1"/>
    <col min="10" max="11" width="11.125" style="0" customWidth="1"/>
    <col min="12" max="12" width="10.375" style="0" customWidth="1"/>
    <col min="13" max="13" width="10.625" style="0" customWidth="1"/>
    <col min="14" max="16" width="10.50390625" style="0" customWidth="1"/>
    <col min="17" max="18" width="10.375" style="0" customWidth="1"/>
    <col min="19" max="19" width="10.625" style="0" customWidth="1"/>
    <col min="20" max="20" width="10.50390625" style="0" customWidth="1"/>
    <col min="21" max="21" width="8.75390625" style="0" customWidth="1"/>
    <col min="22" max="23" width="9.375" style="0" customWidth="1"/>
    <col min="24" max="29" width="10.375" style="0" customWidth="1"/>
    <col min="30" max="32" width="7.75390625" style="0" customWidth="1"/>
    <col min="33" max="33" width="9.75390625" style="0" customWidth="1"/>
    <col min="34" max="34" width="7.75390625" style="0" customWidth="1"/>
    <col min="35" max="35" width="10.75390625" style="0" customWidth="1"/>
    <col min="36" max="36" width="7.75390625" style="0" customWidth="1"/>
    <col min="37" max="37" width="10.75390625" style="0" customWidth="1"/>
    <col min="38" max="38" width="9.75390625" style="0" customWidth="1"/>
    <col min="39" max="39" width="10.75390625" style="0" customWidth="1"/>
    <col min="40" max="40" width="9.75390625" style="0" customWidth="1"/>
    <col min="41" max="41" width="10.75390625" style="0" customWidth="1"/>
    <col min="42" max="42" width="9.75390625" style="0" customWidth="1"/>
    <col min="43" max="43" width="10.75390625" style="0" customWidth="1"/>
    <col min="44" max="44" width="9.75390625" style="0" customWidth="1"/>
    <col min="45" max="49" width="10.75390625" style="0" customWidth="1"/>
    <col min="50" max="51" width="9.75390625" style="0" customWidth="1"/>
    <col min="52" max="16384" width="10.75390625" style="0" customWidth="1"/>
  </cols>
  <sheetData>
    <row r="1" ht="12.75" customHeight="1"/>
    <row r="2" spans="2:16" ht="16.5" thickBot="1">
      <c r="B2" s="24" t="s">
        <v>332</v>
      </c>
      <c r="P2" s="24" t="s">
        <v>333</v>
      </c>
    </row>
    <row r="3" spans="2:25" ht="15.75" customHeight="1" thickTop="1">
      <c r="B3" s="394"/>
      <c r="C3" s="401"/>
      <c r="D3" s="493" t="str">
        <f>'配合'!L11</f>
        <v>方案歩留り５０％</v>
      </c>
      <c r="E3" s="493" t="str">
        <f>'配合'!M11</f>
        <v>方案歩留り６０％</v>
      </c>
      <c r="F3" s="583" t="str">
        <f>D3</f>
        <v>方案歩留り５０％</v>
      </c>
      <c r="G3" s="561"/>
      <c r="H3" s="562"/>
      <c r="I3" s="565" t="str">
        <f>E3</f>
        <v>方案歩留り６０％</v>
      </c>
      <c r="J3" s="561"/>
      <c r="K3" s="562"/>
      <c r="L3" s="15"/>
      <c r="O3" s="14"/>
      <c r="P3" s="35"/>
      <c r="Q3" s="136"/>
      <c r="R3" s="36" t="str">
        <f>'配合'!L11</f>
        <v>方案歩留り５０％</v>
      </c>
      <c r="S3" s="35"/>
      <c r="T3" s="35"/>
      <c r="U3" s="136"/>
      <c r="V3" s="36" t="str">
        <f>'配合'!M11</f>
        <v>方案歩留り６０％</v>
      </c>
      <c r="W3" s="35"/>
      <c r="X3" s="35"/>
      <c r="Y3" s="15"/>
    </row>
    <row r="4" spans="2:25" ht="13.5" customHeight="1" thickBot="1">
      <c r="B4" s="464"/>
      <c r="C4" s="406" t="s">
        <v>334</v>
      </c>
      <c r="D4" s="405" t="s">
        <v>335</v>
      </c>
      <c r="E4" s="405" t="s">
        <v>335</v>
      </c>
      <c r="F4" s="504" t="s">
        <v>336</v>
      </c>
      <c r="G4" s="504" t="s">
        <v>337</v>
      </c>
      <c r="H4" s="405" t="s">
        <v>338</v>
      </c>
      <c r="I4" s="505" t="s">
        <v>336</v>
      </c>
      <c r="J4" s="504" t="s">
        <v>337</v>
      </c>
      <c r="K4" s="405" t="s">
        <v>338</v>
      </c>
      <c r="L4" s="15"/>
      <c r="O4" s="138"/>
      <c r="P4" s="26" t="s">
        <v>334</v>
      </c>
      <c r="Q4" s="26" t="s">
        <v>339</v>
      </c>
      <c r="R4" s="26" t="s">
        <v>340</v>
      </c>
      <c r="S4" s="26" t="s">
        <v>341</v>
      </c>
      <c r="T4" s="26" t="s">
        <v>342</v>
      </c>
      <c r="U4" s="26" t="s">
        <v>339</v>
      </c>
      <c r="V4" s="26" t="s">
        <v>340</v>
      </c>
      <c r="W4" s="26" t="s">
        <v>341</v>
      </c>
      <c r="X4" s="26" t="s">
        <v>342</v>
      </c>
      <c r="Y4" s="15"/>
    </row>
    <row r="5" spans="2:25" ht="15" thickTop="1">
      <c r="B5" s="394"/>
      <c r="C5" s="398" t="s">
        <v>343</v>
      </c>
      <c r="D5" s="535">
        <v>4</v>
      </c>
      <c r="E5" s="535">
        <v>4</v>
      </c>
      <c r="F5" s="411">
        <f>D5*D10/(D11-D10)</f>
        <v>0.26666666666666666</v>
      </c>
      <c r="G5" s="411">
        <f>(D5+F5)/G41*D22</f>
        <v>0.7757575757575758</v>
      </c>
      <c r="H5" s="411">
        <f>D5+F5+G5</f>
        <v>5.042424242424242</v>
      </c>
      <c r="I5" s="437">
        <f>E5*E10/(E11-E10)</f>
        <v>0.26666666666666666</v>
      </c>
      <c r="J5" s="411">
        <f>(E5+I5)/G41*E22</f>
        <v>0.7757575757575758</v>
      </c>
      <c r="K5" s="411">
        <f>E5+I5+J5</f>
        <v>5.042424242424242</v>
      </c>
      <c r="L5" s="15"/>
      <c r="O5" s="14"/>
      <c r="P5" s="16" t="s">
        <v>343</v>
      </c>
      <c r="Q5" s="131">
        <f>H5*H33</f>
        <v>831.9999999999999</v>
      </c>
      <c r="R5" s="77">
        <f>Q5/H30</f>
        <v>0.6570313899494465</v>
      </c>
      <c r="S5" s="77">
        <f>Q5/H31</f>
        <v>1.3877259641526363</v>
      </c>
      <c r="T5" s="132">
        <f>S5*H34</f>
        <v>9035.85359720209</v>
      </c>
      <c r="U5" s="131">
        <f>K5*H33</f>
        <v>831.9999999999999</v>
      </c>
      <c r="V5" s="77">
        <f>U5/H30</f>
        <v>0.6570313899494465</v>
      </c>
      <c r="W5" s="77">
        <f>U5/I31</f>
        <v>1.156368225447328</v>
      </c>
      <c r="X5" s="132">
        <f>W5*I34</f>
        <v>7529.42170104787</v>
      </c>
      <c r="Y5" s="15"/>
    </row>
    <row r="6" spans="2:25" ht="14.25">
      <c r="B6" s="424" t="s">
        <v>344</v>
      </c>
      <c r="C6" s="406" t="s">
        <v>345</v>
      </c>
      <c r="D6" s="539">
        <v>6</v>
      </c>
      <c r="E6" s="539">
        <v>6</v>
      </c>
      <c r="F6" s="412">
        <f>D6*D10/(D11-D10)</f>
        <v>0.4</v>
      </c>
      <c r="G6" s="412">
        <f>(D6+F6)/G41*D22</f>
        <v>1.1636363636363636</v>
      </c>
      <c r="H6" s="412">
        <f>D6+F6+G6</f>
        <v>7.563636363636364</v>
      </c>
      <c r="I6" s="419">
        <f>E6*E10/(E11-E10)</f>
        <v>0.4</v>
      </c>
      <c r="J6" s="412">
        <f>(E6+I6)/G41*E22</f>
        <v>1.1636363636363636</v>
      </c>
      <c r="K6" s="412">
        <f>E6+I6+J6</f>
        <v>7.563636363636364</v>
      </c>
      <c r="L6" s="15"/>
      <c r="O6" s="78" t="s">
        <v>344</v>
      </c>
      <c r="P6" s="26" t="s">
        <v>345</v>
      </c>
      <c r="Q6" s="58">
        <f>H6*H33</f>
        <v>1248.0000000000002</v>
      </c>
      <c r="R6" s="46">
        <f>Q6/H30</f>
        <v>0.9855470849241702</v>
      </c>
      <c r="S6" s="46">
        <f>Q6/H31</f>
        <v>2.081588946228955</v>
      </c>
      <c r="T6" s="133">
        <f>S6*H34</f>
        <v>13553.780395803142</v>
      </c>
      <c r="U6" s="58">
        <f>K6*H33</f>
        <v>1248.0000000000002</v>
      </c>
      <c r="V6" s="46">
        <f>U6/H30</f>
        <v>0.9855470849241702</v>
      </c>
      <c r="W6" s="46">
        <f>U6/I31</f>
        <v>1.7345523381709926</v>
      </c>
      <c r="X6" s="133">
        <f>W6*I34</f>
        <v>11294.132551571809</v>
      </c>
      <c r="Y6" s="15"/>
    </row>
    <row r="7" spans="2:25" ht="14.25">
      <c r="B7" s="424" t="s">
        <v>346</v>
      </c>
      <c r="C7" s="406" t="s">
        <v>347</v>
      </c>
      <c r="D7" s="539">
        <v>2</v>
      </c>
      <c r="E7" s="539">
        <v>2</v>
      </c>
      <c r="F7" s="412">
        <f>D7*D10/(D11-D10)</f>
        <v>0.13333333333333333</v>
      </c>
      <c r="G7" s="412">
        <f>(D7+F7)/G41*D22</f>
        <v>0.3878787878787879</v>
      </c>
      <c r="H7" s="412">
        <f>D7+F7+G7</f>
        <v>2.521212121212121</v>
      </c>
      <c r="I7" s="419">
        <f>E7*E10/(E11-E10)</f>
        <v>0.13333333333333333</v>
      </c>
      <c r="J7" s="412">
        <f>(E7+I7)/G41*E22</f>
        <v>0.3878787878787879</v>
      </c>
      <c r="K7" s="412">
        <f>E7+I7+J7</f>
        <v>2.521212121212121</v>
      </c>
      <c r="L7" s="15"/>
      <c r="O7" s="78" t="s">
        <v>346</v>
      </c>
      <c r="P7" s="26" t="s">
        <v>347</v>
      </c>
      <c r="Q7" s="58">
        <f>H7*H33</f>
        <v>415.99999999999994</v>
      </c>
      <c r="R7" s="46">
        <f>Q7/H30</f>
        <v>0.32851569497472327</v>
      </c>
      <c r="S7" s="46">
        <f>Q7/H31</f>
        <v>0.6938629820763181</v>
      </c>
      <c r="T7" s="133">
        <f>S7*H34</f>
        <v>4517.926798601045</v>
      </c>
      <c r="U7" s="58">
        <f>K7*H33</f>
        <v>415.99999999999994</v>
      </c>
      <c r="V7" s="46">
        <f>U7/H30</f>
        <v>0.32851569497472327</v>
      </c>
      <c r="W7" s="46">
        <f>U7/I31</f>
        <v>0.578184112723664</v>
      </c>
      <c r="X7" s="133">
        <f>W7*I34</f>
        <v>3764.710850523935</v>
      </c>
      <c r="Y7" s="15"/>
    </row>
    <row r="8" spans="2:25" ht="14.25">
      <c r="B8" s="424"/>
      <c r="C8" s="406" t="s">
        <v>348</v>
      </c>
      <c r="D8" s="539">
        <v>6</v>
      </c>
      <c r="E8" s="539">
        <v>6</v>
      </c>
      <c r="F8" s="412">
        <f>D8*D10/(D11-D10)</f>
        <v>0.4</v>
      </c>
      <c r="G8" s="412">
        <f>(D8+F8)/G41*D22</f>
        <v>1.1636363636363636</v>
      </c>
      <c r="H8" s="412">
        <f>D8+F8+G8</f>
        <v>7.563636363636364</v>
      </c>
      <c r="I8" s="419">
        <f>E8*E10/(E11-E10)</f>
        <v>0.4</v>
      </c>
      <c r="J8" s="412">
        <f>(E8+I8)/G41*E22</f>
        <v>1.1636363636363636</v>
      </c>
      <c r="K8" s="412">
        <f>E8+I8+J8</f>
        <v>7.563636363636364</v>
      </c>
      <c r="L8" s="15"/>
      <c r="O8" s="78"/>
      <c r="P8" s="26" t="s">
        <v>348</v>
      </c>
      <c r="Q8" s="58">
        <f>H8*H33</f>
        <v>1248.0000000000002</v>
      </c>
      <c r="R8" s="46">
        <f>Q8/H30</f>
        <v>0.9855470849241702</v>
      </c>
      <c r="S8" s="46">
        <f>Q8/H31</f>
        <v>2.081588946228955</v>
      </c>
      <c r="T8" s="133">
        <f>S8*H34</f>
        <v>13553.780395803142</v>
      </c>
      <c r="U8" s="58">
        <f>K8*H33</f>
        <v>1248.0000000000002</v>
      </c>
      <c r="V8" s="46">
        <f>U8/H30</f>
        <v>0.9855470849241702</v>
      </c>
      <c r="W8" s="46">
        <f>U8/I31</f>
        <v>1.7345523381709926</v>
      </c>
      <c r="X8" s="133">
        <f>W8*I34</f>
        <v>11294.132551571809</v>
      </c>
      <c r="Y8" s="15"/>
    </row>
    <row r="9" spans="2:25" ht="14.25">
      <c r="B9" s="424"/>
      <c r="C9" s="406" t="s">
        <v>349</v>
      </c>
      <c r="D9" s="539">
        <v>12</v>
      </c>
      <c r="E9" s="539">
        <v>12</v>
      </c>
      <c r="F9" s="412">
        <f>D9*D10/(D11-D10)</f>
        <v>0.8</v>
      </c>
      <c r="G9" s="412">
        <f>(D9+F9)/G41*D22</f>
        <v>2.327272727272727</v>
      </c>
      <c r="H9" s="412">
        <f>D9+F9+G9</f>
        <v>15.127272727272729</v>
      </c>
      <c r="I9" s="419">
        <f>E9*E10/(E11-E10)</f>
        <v>0.8</v>
      </c>
      <c r="J9" s="412">
        <f>(E9+I9)/G41*E22</f>
        <v>2.327272727272727</v>
      </c>
      <c r="K9" s="412">
        <f>E9+I9+J9</f>
        <v>15.127272727272729</v>
      </c>
      <c r="L9" s="15"/>
      <c r="O9" s="78"/>
      <c r="P9" s="26" t="s">
        <v>349</v>
      </c>
      <c r="Q9" s="58">
        <f>H9*H33</f>
        <v>2496.0000000000005</v>
      </c>
      <c r="R9" s="46">
        <f>Q9/H30</f>
        <v>1.9710941698483404</v>
      </c>
      <c r="S9" s="46">
        <f>Q9/H31</f>
        <v>4.16317789245791</v>
      </c>
      <c r="T9" s="133">
        <f>S9*H34</f>
        <v>27107.560791606284</v>
      </c>
      <c r="U9" s="58">
        <f>K9*H33</f>
        <v>2496.0000000000005</v>
      </c>
      <c r="V9" s="46">
        <f>U9/H30</f>
        <v>1.9710941698483404</v>
      </c>
      <c r="W9" s="46">
        <f>U9/I31</f>
        <v>3.4691046763419853</v>
      </c>
      <c r="X9" s="133">
        <f>W9*I34</f>
        <v>22588.265103143618</v>
      </c>
      <c r="Y9" s="15"/>
    </row>
    <row r="10" spans="2:25" ht="14.25">
      <c r="B10" s="403"/>
      <c r="C10" s="406" t="s">
        <v>350</v>
      </c>
      <c r="D10" s="539">
        <v>2</v>
      </c>
      <c r="E10" s="539">
        <v>2</v>
      </c>
      <c r="F10" s="412"/>
      <c r="G10" s="412"/>
      <c r="H10" s="412"/>
      <c r="I10" s="419"/>
      <c r="J10" s="412"/>
      <c r="K10" s="412"/>
      <c r="L10" s="15"/>
      <c r="O10" s="41"/>
      <c r="P10" s="26" t="s">
        <v>350</v>
      </c>
      <c r="Q10" s="134"/>
      <c r="R10" s="46"/>
      <c r="S10" s="46"/>
      <c r="T10" s="133"/>
      <c r="U10" s="134"/>
      <c r="V10" s="134"/>
      <c r="W10" s="134"/>
      <c r="X10" s="134"/>
      <c r="Y10" s="15"/>
    </row>
    <row r="11" spans="2:25" ht="15" customHeight="1">
      <c r="B11" s="403"/>
      <c r="C11" s="408" t="s">
        <v>351</v>
      </c>
      <c r="D11" s="139">
        <f>SUM(D5:D10)</f>
        <v>32</v>
      </c>
      <c r="E11" s="139">
        <f>SUM(E5:E10)</f>
        <v>32</v>
      </c>
      <c r="F11" s="417">
        <f aca="true" t="shared" si="0" ref="F11:K11">SUM(F5:F9)</f>
        <v>2</v>
      </c>
      <c r="G11" s="417">
        <f t="shared" si="0"/>
        <v>5.818181818181818</v>
      </c>
      <c r="H11" s="417">
        <f t="shared" si="0"/>
        <v>37.81818181818182</v>
      </c>
      <c r="I11" s="418">
        <f t="shared" si="0"/>
        <v>2</v>
      </c>
      <c r="J11" s="417">
        <f t="shared" si="0"/>
        <v>5.818181818181818</v>
      </c>
      <c r="K11" s="417">
        <f t="shared" si="0"/>
        <v>37.81818181818182</v>
      </c>
      <c r="L11" s="15"/>
      <c r="O11" s="41"/>
      <c r="P11" s="50" t="s">
        <v>351</v>
      </c>
      <c r="Q11" s="55">
        <f>SUM(Q5:Q9)</f>
        <v>6240</v>
      </c>
      <c r="R11" s="62">
        <f>SUM(R5:R9)</f>
        <v>4.927735424620851</v>
      </c>
      <c r="S11" s="62">
        <f>Q11/H31</f>
        <v>10.407944731144774</v>
      </c>
      <c r="T11" s="135">
        <f>SUM(T5:T9)</f>
        <v>67768.9019790157</v>
      </c>
      <c r="U11" s="55">
        <f>K11*H33</f>
        <v>6240</v>
      </c>
      <c r="V11" s="62">
        <f>U11/H30</f>
        <v>4.92773542462085</v>
      </c>
      <c r="W11" s="62">
        <f>U11/I31</f>
        <v>8.672761690854962</v>
      </c>
      <c r="X11" s="135">
        <f>W11*I34</f>
        <v>56470.662757859034</v>
      </c>
      <c r="Y11" s="15"/>
    </row>
    <row r="12" spans="2:25" ht="14.25">
      <c r="B12" s="399" t="s">
        <v>352</v>
      </c>
      <c r="C12" s="398" t="s">
        <v>353</v>
      </c>
      <c r="D12" s="535">
        <v>5</v>
      </c>
      <c r="E12" s="535">
        <v>5</v>
      </c>
      <c r="F12" s="411">
        <f>D12*D17/(D18-D17)</f>
        <v>0.75</v>
      </c>
      <c r="G12" s="411">
        <f>(D12+F12)/G41*D22</f>
        <v>1.0454545454545454</v>
      </c>
      <c r="H12" s="411">
        <f>D12+F12+G12</f>
        <v>6.795454545454545</v>
      </c>
      <c r="I12" s="437">
        <f>E12*E17/(E18-E17)</f>
        <v>0.75</v>
      </c>
      <c r="J12" s="411">
        <f>(E12+I12)/G41*E22</f>
        <v>1.0454545454545454</v>
      </c>
      <c r="K12" s="411">
        <f>E12+I12+J12</f>
        <v>6.795454545454545</v>
      </c>
      <c r="L12" s="15"/>
      <c r="O12" s="17" t="s">
        <v>352</v>
      </c>
      <c r="P12" s="16" t="s">
        <v>353</v>
      </c>
      <c r="Q12" s="132">
        <f>H12*H33</f>
        <v>1121.25</v>
      </c>
      <c r="R12" s="77">
        <f>Q12/H30</f>
        <v>0.885452459111559</v>
      </c>
      <c r="S12" s="77">
        <f>Q12/H31</f>
        <v>1.8701775688775764</v>
      </c>
      <c r="T12" s="132">
        <f>S12*H34</f>
        <v>12177.22457435438</v>
      </c>
      <c r="U12" s="131">
        <f>K12*H33</f>
        <v>1121.25</v>
      </c>
      <c r="V12" s="77">
        <f>U12/H30</f>
        <v>0.885452459111559</v>
      </c>
      <c r="W12" s="77">
        <f>U12/I31</f>
        <v>1.558386866325501</v>
      </c>
      <c r="X12" s="132">
        <f>W12*I34</f>
        <v>10147.072214302794</v>
      </c>
      <c r="Y12" s="15"/>
    </row>
    <row r="13" spans="2:25" ht="14.25">
      <c r="B13" s="424" t="s">
        <v>354</v>
      </c>
      <c r="C13" s="406" t="s">
        <v>355</v>
      </c>
      <c r="D13" s="539">
        <v>3</v>
      </c>
      <c r="E13" s="539">
        <v>3</v>
      </c>
      <c r="F13" s="412">
        <f>D13*D17/(D18-D17)</f>
        <v>0.45</v>
      </c>
      <c r="G13" s="412">
        <f>(D13+F13)/G41*D22</f>
        <v>0.6272727272727273</v>
      </c>
      <c r="H13" s="412">
        <f>D13+F13+G13</f>
        <v>4.077272727272727</v>
      </c>
      <c r="I13" s="419">
        <f>E13*E17/(E18-E17)</f>
        <v>0.45</v>
      </c>
      <c r="J13" s="412">
        <f>(E13+I13)/G41*E22</f>
        <v>0.6272727272727273</v>
      </c>
      <c r="K13" s="412">
        <f>E13+I13+J13</f>
        <v>4.077272727272727</v>
      </c>
      <c r="L13" s="15"/>
      <c r="O13" s="78" t="s">
        <v>354</v>
      </c>
      <c r="P13" s="26" t="s">
        <v>355</v>
      </c>
      <c r="Q13" s="133">
        <f>H13*H33</f>
        <v>672.75</v>
      </c>
      <c r="R13" s="46">
        <f>Q13/H30</f>
        <v>0.5312714754669354</v>
      </c>
      <c r="S13" s="46">
        <f>Q13/H31</f>
        <v>1.1221065413265459</v>
      </c>
      <c r="T13" s="133">
        <f>S13*H34</f>
        <v>7306.334744612629</v>
      </c>
      <c r="U13" s="58">
        <f>K13*H33</f>
        <v>672.75</v>
      </c>
      <c r="V13" s="46">
        <f>U13/H30</f>
        <v>0.5312714754669354</v>
      </c>
      <c r="W13" s="46">
        <f>U13/I31</f>
        <v>0.9350321197953005</v>
      </c>
      <c r="X13" s="133">
        <f>W13*I34</f>
        <v>6088.243328581677</v>
      </c>
      <c r="Y13" s="15"/>
    </row>
    <row r="14" spans="2:25" ht="14.25">
      <c r="B14" s="403"/>
      <c r="C14" s="406" t="s">
        <v>356</v>
      </c>
      <c r="D14" s="539">
        <v>3</v>
      </c>
      <c r="E14" s="539">
        <v>3</v>
      </c>
      <c r="F14" s="412">
        <f>D14*D17/(D18-D17)</f>
        <v>0.45</v>
      </c>
      <c r="G14" s="412">
        <f>(D14+F14)/G41*D22</f>
        <v>0.6272727272727273</v>
      </c>
      <c r="H14" s="412">
        <f>D14+F14+G14</f>
        <v>4.077272727272727</v>
      </c>
      <c r="I14" s="419">
        <f>E14*E17/(E18-E17)</f>
        <v>0.45</v>
      </c>
      <c r="J14" s="412">
        <f>(E14+I14)/G41*E22</f>
        <v>0.6272727272727273</v>
      </c>
      <c r="K14" s="412">
        <f>E14+I14+J14</f>
        <v>4.077272727272727</v>
      </c>
      <c r="L14" s="15"/>
      <c r="O14" s="41"/>
      <c r="P14" s="26" t="s">
        <v>356</v>
      </c>
      <c r="Q14" s="133">
        <f>H14*H33</f>
        <v>672.75</v>
      </c>
      <c r="R14" s="46">
        <f>Q14/H30</f>
        <v>0.5312714754669354</v>
      </c>
      <c r="S14" s="46">
        <f>Q14/H31</f>
        <v>1.1221065413265459</v>
      </c>
      <c r="T14" s="133">
        <f>S14*H34</f>
        <v>7306.334744612629</v>
      </c>
      <c r="U14" s="58">
        <f>K14*H33</f>
        <v>672.75</v>
      </c>
      <c r="V14" s="46">
        <f>U14/H30</f>
        <v>0.5312714754669354</v>
      </c>
      <c r="W14" s="46">
        <f>U14/I31</f>
        <v>0.9350321197953005</v>
      </c>
      <c r="X14" s="133">
        <f>W14*I34</f>
        <v>6088.243328581677</v>
      </c>
      <c r="Y14" s="15"/>
    </row>
    <row r="15" spans="2:25" ht="14.25">
      <c r="B15" s="403"/>
      <c r="C15" s="406" t="s">
        <v>357</v>
      </c>
      <c r="D15" s="539">
        <v>6</v>
      </c>
      <c r="E15" s="539">
        <v>6</v>
      </c>
      <c r="F15" s="412">
        <f>D15*D17/(D18-D17)</f>
        <v>0.9</v>
      </c>
      <c r="G15" s="412">
        <f>(D15+F15)/G41*D22</f>
        <v>1.2545454545454546</v>
      </c>
      <c r="H15" s="412">
        <f>D15+F15+G15</f>
        <v>8.154545454545454</v>
      </c>
      <c r="I15" s="419">
        <f>E15*E17/(E18-E17)</f>
        <v>0.9</v>
      </c>
      <c r="J15" s="412">
        <f>(E15+I15)/G41*E22</f>
        <v>1.2545454545454546</v>
      </c>
      <c r="K15" s="412">
        <f>E15+I15+J15</f>
        <v>8.154545454545454</v>
      </c>
      <c r="L15" s="15"/>
      <c r="O15" s="41"/>
      <c r="P15" s="26" t="s">
        <v>357</v>
      </c>
      <c r="Q15" s="133">
        <f>H15*H33</f>
        <v>1345.5</v>
      </c>
      <c r="R15" s="46">
        <f>Q15/H30</f>
        <v>1.0625429509338709</v>
      </c>
      <c r="S15" s="46">
        <f>Q15/H31</f>
        <v>2.2442130826530917</v>
      </c>
      <c r="T15" s="133">
        <f>S15*H34</f>
        <v>14612.669489225258</v>
      </c>
      <c r="U15" s="58">
        <f>K15*H33</f>
        <v>1345.5</v>
      </c>
      <c r="V15" s="46">
        <f>U15/H30</f>
        <v>1.0625429509338709</v>
      </c>
      <c r="W15" s="46">
        <f>U15/I31</f>
        <v>1.870064239590601</v>
      </c>
      <c r="X15" s="133">
        <f>W15*I34</f>
        <v>12176.486657163354</v>
      </c>
      <c r="Y15" s="15"/>
    </row>
    <row r="16" spans="2:25" ht="14.25">
      <c r="B16" s="403"/>
      <c r="C16" s="406" t="s">
        <v>358</v>
      </c>
      <c r="D16" s="539">
        <v>3</v>
      </c>
      <c r="E16" s="539">
        <v>3</v>
      </c>
      <c r="F16" s="412">
        <f>D16*D17/(D18-D17)</f>
        <v>0.45</v>
      </c>
      <c r="G16" s="412">
        <f>(D16+F16)/G41*D22</f>
        <v>0.6272727272727273</v>
      </c>
      <c r="H16" s="412">
        <f>D16+F16+G16</f>
        <v>4.077272727272727</v>
      </c>
      <c r="I16" s="419">
        <f>E16*E17/(E18-E17)</f>
        <v>0.45</v>
      </c>
      <c r="J16" s="412">
        <f>(E16+I16)/G41*E22</f>
        <v>0.6272727272727273</v>
      </c>
      <c r="K16" s="412">
        <f>E16+I16+J16</f>
        <v>4.077272727272727</v>
      </c>
      <c r="L16" s="15"/>
      <c r="O16" s="41"/>
      <c r="P16" s="26" t="s">
        <v>358</v>
      </c>
      <c r="Q16" s="133">
        <f>H16*H33</f>
        <v>672.75</v>
      </c>
      <c r="R16" s="46">
        <f>Q16/H30</f>
        <v>0.5312714754669354</v>
      </c>
      <c r="S16" s="46">
        <f>Q16/H31</f>
        <v>1.1221065413265459</v>
      </c>
      <c r="T16" s="133">
        <f>S16*H34</f>
        <v>7306.334744612629</v>
      </c>
      <c r="U16" s="58">
        <f>K16*H33</f>
        <v>672.75</v>
      </c>
      <c r="V16" s="46">
        <f>U16/H30</f>
        <v>0.5312714754669354</v>
      </c>
      <c r="W16" s="46">
        <f>U16/I31</f>
        <v>0.9350321197953005</v>
      </c>
      <c r="X16" s="133">
        <f>W16*I34</f>
        <v>6088.243328581677</v>
      </c>
      <c r="Y16" s="15"/>
    </row>
    <row r="17" spans="2:25" ht="14.25">
      <c r="B17" s="403"/>
      <c r="C17" s="406" t="s">
        <v>350</v>
      </c>
      <c r="D17" s="539">
        <v>3</v>
      </c>
      <c r="E17" s="539">
        <v>3</v>
      </c>
      <c r="F17" s="432"/>
      <c r="G17" s="432"/>
      <c r="H17" s="432"/>
      <c r="I17" s="446"/>
      <c r="J17" s="432"/>
      <c r="K17" s="432"/>
      <c r="L17" s="15"/>
      <c r="O17" s="41"/>
      <c r="P17" s="26" t="s">
        <v>350</v>
      </c>
      <c r="Q17" s="134"/>
      <c r="R17" s="46"/>
      <c r="S17" s="46"/>
      <c r="T17" s="133"/>
      <c r="U17" s="134"/>
      <c r="V17" s="134"/>
      <c r="W17" s="134"/>
      <c r="X17" s="134"/>
      <c r="Y17" s="15"/>
    </row>
    <row r="18" spans="2:25" ht="15" customHeight="1">
      <c r="B18" s="403"/>
      <c r="C18" s="408" t="s">
        <v>351</v>
      </c>
      <c r="D18" s="139">
        <f>SUM(D12:D17)</f>
        <v>23</v>
      </c>
      <c r="E18" s="139">
        <f>SUM(E12:E17)</f>
        <v>23</v>
      </c>
      <c r="F18" s="417">
        <f aca="true" t="shared" si="1" ref="F18:K18">SUM(F12:F16)</f>
        <v>3</v>
      </c>
      <c r="G18" s="417">
        <f t="shared" si="1"/>
        <v>4.181818181818182</v>
      </c>
      <c r="H18" s="417">
        <f t="shared" si="1"/>
        <v>27.18181818181818</v>
      </c>
      <c r="I18" s="418">
        <f t="shared" si="1"/>
        <v>3</v>
      </c>
      <c r="J18" s="417">
        <f t="shared" si="1"/>
        <v>4.181818181818182</v>
      </c>
      <c r="K18" s="417">
        <f t="shared" si="1"/>
        <v>27.18181818181818</v>
      </c>
      <c r="L18" s="15"/>
      <c r="O18" s="41"/>
      <c r="P18" s="50" t="s">
        <v>351</v>
      </c>
      <c r="Q18" s="55">
        <f>SUM(Q12:Q16)</f>
        <v>4485</v>
      </c>
      <c r="R18" s="62">
        <f>SUM(R12:R16)</f>
        <v>3.541809836446236</v>
      </c>
      <c r="S18" s="62">
        <f>Q18/H31</f>
        <v>7.480710275510305</v>
      </c>
      <c r="T18" s="135">
        <f>SUM(T12:T16)</f>
        <v>48708.89829741752</v>
      </c>
      <c r="U18" s="55">
        <f>SUM(U12:U16)</f>
        <v>4485</v>
      </c>
      <c r="V18" s="62">
        <f>SUM(V12:V16)</f>
        <v>3.541809836446236</v>
      </c>
      <c r="W18" s="62">
        <f>U18/I31</f>
        <v>6.233547465302004</v>
      </c>
      <c r="X18" s="135">
        <f>SUM(X12:X16)</f>
        <v>40588.288857211184</v>
      </c>
      <c r="Y18" s="15"/>
    </row>
    <row r="19" spans="2:25" ht="14.25">
      <c r="B19" s="399" t="s">
        <v>359</v>
      </c>
      <c r="C19" s="398" t="s">
        <v>360</v>
      </c>
      <c r="D19" s="535">
        <v>3</v>
      </c>
      <c r="E19" s="535">
        <v>3</v>
      </c>
      <c r="F19" s="435"/>
      <c r="G19" s="435"/>
      <c r="H19" s="435"/>
      <c r="I19" s="434"/>
      <c r="J19" s="435"/>
      <c r="K19" s="435"/>
      <c r="L19" s="15"/>
      <c r="O19" s="17" t="s">
        <v>359</v>
      </c>
      <c r="P19" s="16" t="s">
        <v>360</v>
      </c>
      <c r="Q19" s="114"/>
      <c r="R19" s="77"/>
      <c r="S19" s="77"/>
      <c r="T19" s="132"/>
      <c r="U19" s="114"/>
      <c r="V19" s="114"/>
      <c r="W19" s="114"/>
      <c r="X19" s="114"/>
      <c r="Y19" s="15"/>
    </row>
    <row r="20" spans="2:25" ht="14.25">
      <c r="B20" s="403"/>
      <c r="C20" s="406" t="s">
        <v>361</v>
      </c>
      <c r="D20" s="539">
        <v>3</v>
      </c>
      <c r="E20" s="539">
        <v>3</v>
      </c>
      <c r="F20" s="432"/>
      <c r="G20" s="432"/>
      <c r="H20" s="432"/>
      <c r="I20" s="446"/>
      <c r="J20" s="432"/>
      <c r="K20" s="432"/>
      <c r="L20" s="15"/>
      <c r="O20" s="41"/>
      <c r="P20" s="26" t="s">
        <v>361</v>
      </c>
      <c r="Q20" s="134"/>
      <c r="R20" s="46"/>
      <c r="S20" s="46"/>
      <c r="T20" s="133"/>
      <c r="U20" s="134"/>
      <c r="V20" s="134"/>
      <c r="W20" s="134"/>
      <c r="X20" s="134"/>
      <c r="Y20" s="15"/>
    </row>
    <row r="21" spans="2:25" ht="14.25">
      <c r="B21" s="403"/>
      <c r="C21" s="406" t="s">
        <v>362</v>
      </c>
      <c r="D21" s="539">
        <v>4</v>
      </c>
      <c r="E21" s="539">
        <v>4</v>
      </c>
      <c r="F21" s="432"/>
      <c r="G21" s="432"/>
      <c r="H21" s="432"/>
      <c r="I21" s="446"/>
      <c r="J21" s="432"/>
      <c r="K21" s="432"/>
      <c r="L21" s="15"/>
      <c r="O21" s="41"/>
      <c r="P21" s="26" t="s">
        <v>362</v>
      </c>
      <c r="Q21" s="134"/>
      <c r="R21" s="46"/>
      <c r="S21" s="46"/>
      <c r="T21" s="133"/>
      <c r="U21" s="134"/>
      <c r="V21" s="134"/>
      <c r="W21" s="134"/>
      <c r="X21" s="134"/>
      <c r="Y21" s="15"/>
    </row>
    <row r="22" spans="2:25" ht="15" customHeight="1">
      <c r="B22" s="403"/>
      <c r="C22" s="408" t="s">
        <v>351</v>
      </c>
      <c r="D22" s="139">
        <f>SUM(D19:D21)</f>
        <v>10</v>
      </c>
      <c r="E22" s="139">
        <f>SUM(E19:E21)</f>
        <v>10</v>
      </c>
      <c r="F22" s="463"/>
      <c r="G22" s="463"/>
      <c r="H22" s="463"/>
      <c r="I22" s="436"/>
      <c r="J22" s="463"/>
      <c r="K22" s="463"/>
      <c r="L22" s="15"/>
      <c r="O22" s="41"/>
      <c r="P22" s="50" t="s">
        <v>351</v>
      </c>
      <c r="Q22" s="137"/>
      <c r="R22" s="62"/>
      <c r="S22" s="62"/>
      <c r="T22" s="135"/>
      <c r="U22" s="137"/>
      <c r="V22" s="137"/>
      <c r="W22" s="137"/>
      <c r="X22" s="137"/>
      <c r="Y22" s="15"/>
    </row>
    <row r="23" spans="2:25" ht="16.5" customHeight="1" thickBot="1" thickTop="1">
      <c r="B23" s="407"/>
      <c r="C23" s="433" t="s">
        <v>363</v>
      </c>
      <c r="D23" s="139">
        <f>D11+D18+D22</f>
        <v>65</v>
      </c>
      <c r="E23" s="139">
        <f>E11+E18+E22</f>
        <v>65</v>
      </c>
      <c r="F23" s="463"/>
      <c r="G23" s="463"/>
      <c r="H23" s="414">
        <f>H11+H18</f>
        <v>65</v>
      </c>
      <c r="I23" s="436"/>
      <c r="J23" s="463"/>
      <c r="K23" s="414">
        <f>K11+K18</f>
        <v>65</v>
      </c>
      <c r="L23" s="15"/>
      <c r="O23" s="49"/>
      <c r="P23" s="118" t="s">
        <v>363</v>
      </c>
      <c r="Q23" s="55">
        <f>Q11+Q18</f>
        <v>10725</v>
      </c>
      <c r="R23" s="62">
        <f>R11+R18</f>
        <v>8.469545261067086</v>
      </c>
      <c r="S23" s="62">
        <f>Q23/H31</f>
        <v>17.88865500665508</v>
      </c>
      <c r="T23" s="135">
        <f>T11+T18</f>
        <v>116477.80027643323</v>
      </c>
      <c r="U23" s="55">
        <f>U11+U18</f>
        <v>10725</v>
      </c>
      <c r="V23" s="62">
        <f>V11+V18</f>
        <v>8.469545261067086</v>
      </c>
      <c r="W23" s="62">
        <f>U23/I31</f>
        <v>14.906309156156965</v>
      </c>
      <c r="X23" s="135">
        <f>X11+X18</f>
        <v>97058.95161507023</v>
      </c>
      <c r="Y23" s="15"/>
    </row>
    <row r="24" spans="2:24" ht="15" thickBot="1" thickTop="1">
      <c r="B24" s="581" t="s">
        <v>364</v>
      </c>
      <c r="C24" s="582"/>
      <c r="D24" s="536">
        <v>100</v>
      </c>
      <c r="E24" s="536">
        <v>100</v>
      </c>
      <c r="F24" s="465"/>
      <c r="G24" s="466"/>
      <c r="H24" s="466"/>
      <c r="I24" s="467"/>
      <c r="J24" s="466"/>
      <c r="K24" s="466"/>
      <c r="O24" s="22"/>
      <c r="P24" s="22"/>
      <c r="Q24" s="22"/>
      <c r="R24" s="22"/>
      <c r="S24" s="22"/>
      <c r="T24" s="22"/>
      <c r="U24" s="22"/>
      <c r="V24" s="22"/>
      <c r="W24" s="22"/>
      <c r="X24" s="22"/>
    </row>
    <row r="25" spans="2:5" ht="15" thickTop="1">
      <c r="B25" s="22"/>
      <c r="C25" s="22"/>
      <c r="D25" s="22"/>
      <c r="E25" s="22"/>
    </row>
    <row r="28" spans="6:10" ht="14.25">
      <c r="F28" s="48"/>
      <c r="G28" s="6"/>
      <c r="H28" s="253" t="str">
        <f>R3</f>
        <v>方案歩留り５０％</v>
      </c>
      <c r="I28" s="253" t="str">
        <f>V3</f>
        <v>方案歩留り６０％</v>
      </c>
      <c r="J28" s="34"/>
    </row>
    <row r="29" spans="6:10" ht="14.25">
      <c r="F29" s="558" t="str">
        <f>'電力'!B21</f>
        <v>原単位　（溶解　ｔ/製品t）</v>
      </c>
      <c r="G29" s="559"/>
      <c r="H29" s="32">
        <f>'電力'!D21</f>
        <v>2.1121151673733745</v>
      </c>
      <c r="I29" s="32">
        <f>'電力'!E21</f>
        <v>1.7599888296228852</v>
      </c>
      <c r="J29" s="34"/>
    </row>
    <row r="30" spans="6:9" ht="14.25">
      <c r="F30" s="32" t="str">
        <f>'操業条件'!B15</f>
        <v>月間溶解量　　（ｔ／Ｍ）</v>
      </c>
      <c r="G30" s="33"/>
      <c r="H30" s="32">
        <f>'操業条件'!C15</f>
        <v>1266.3017516773677</v>
      </c>
      <c r="I30" s="508">
        <f>'操業条件'!D15</f>
        <v>1266.3014029806882</v>
      </c>
    </row>
    <row r="31" spans="6:10" ht="14.25">
      <c r="F31" s="32" t="str">
        <f>'操業条件'!B5</f>
        <v>製品生産量　　　　（ｔ/月）</v>
      </c>
      <c r="G31" s="33"/>
      <c r="H31" s="32">
        <f>'操業条件'!C5</f>
        <v>599.542</v>
      </c>
      <c r="I31" s="32">
        <f>'操業条件'!D5</f>
        <v>719.494</v>
      </c>
      <c r="J31" s="34"/>
    </row>
    <row r="32" spans="6:10" ht="14.25">
      <c r="F32" s="509"/>
      <c r="G32" s="6"/>
      <c r="H32" s="6"/>
      <c r="I32" s="6"/>
      <c r="J32" s="34"/>
    </row>
    <row r="33" spans="6:10" ht="14.25">
      <c r="F33" s="32" t="s">
        <v>365</v>
      </c>
      <c r="G33" s="33" t="s">
        <v>366</v>
      </c>
      <c r="H33" s="32">
        <f>'賃率、経費'!G17/'賃率、経費'!C23</f>
        <v>165</v>
      </c>
      <c r="I33" s="32">
        <f>'賃率、経費'!H17/'賃率、経費'!D23</f>
        <v>165</v>
      </c>
      <c r="J33" s="34"/>
    </row>
    <row r="34" spans="6:10" ht="14.25">
      <c r="F34" s="32" t="s">
        <v>367</v>
      </c>
      <c r="G34" s="33" t="s">
        <v>368</v>
      </c>
      <c r="H34" s="144">
        <f>'賃率、経費'!G12</f>
        <v>6511.266511266511</v>
      </c>
      <c r="I34" s="144">
        <f>'賃率、経費'!H12</f>
        <v>6511.266511266511</v>
      </c>
      <c r="J34" s="34"/>
    </row>
    <row r="35" spans="6:9" ht="14.25">
      <c r="F35" s="6"/>
      <c r="G35" s="6"/>
      <c r="H35" s="6"/>
      <c r="I35" s="6"/>
    </row>
    <row r="37" spans="6:8" ht="14.25">
      <c r="F37" s="39" t="s">
        <v>369</v>
      </c>
      <c r="G37" s="6"/>
      <c r="H37" s="34"/>
    </row>
    <row r="38" spans="6:8" ht="14.25">
      <c r="F38" s="32" t="s">
        <v>370</v>
      </c>
      <c r="G38" s="32">
        <f>D11-D10</f>
        <v>30</v>
      </c>
      <c r="H38" s="34"/>
    </row>
    <row r="39" spans="6:8" ht="14.25">
      <c r="F39" s="32" t="s">
        <v>371</v>
      </c>
      <c r="G39" s="32">
        <f>D18-D17</f>
        <v>20</v>
      </c>
      <c r="H39" s="34"/>
    </row>
    <row r="40" spans="6:8" ht="14.25">
      <c r="F40" s="32" t="s">
        <v>351</v>
      </c>
      <c r="G40" s="32">
        <f>D11-D10+D18-D17</f>
        <v>50</v>
      </c>
      <c r="H40" s="34"/>
    </row>
    <row r="41" spans="6:8" ht="14.25">
      <c r="F41" s="510" t="s">
        <v>372</v>
      </c>
      <c r="G41" s="508">
        <f>D11+D18</f>
        <v>55</v>
      </c>
      <c r="H41" s="34"/>
    </row>
    <row r="43" spans="3:22" ht="16.5" thickBot="1">
      <c r="C43" s="24" t="s">
        <v>373</v>
      </c>
      <c r="P43" s="24" t="s">
        <v>374</v>
      </c>
      <c r="V43" s="24" t="s">
        <v>375</v>
      </c>
    </row>
    <row r="44" spans="1:30" ht="15" thickBot="1" thickTop="1">
      <c r="A44" s="14"/>
      <c r="B44" s="35"/>
      <c r="C44" s="574" t="s">
        <v>376</v>
      </c>
      <c r="D44" s="576"/>
      <c r="E44" s="97" t="s">
        <v>377</v>
      </c>
      <c r="F44" s="145" t="s">
        <v>378</v>
      </c>
      <c r="G44" s="574" t="s">
        <v>379</v>
      </c>
      <c r="H44" s="576"/>
      <c r="I44" s="574" t="s">
        <v>380</v>
      </c>
      <c r="J44" s="580"/>
      <c r="K44" s="578" t="s">
        <v>381</v>
      </c>
      <c r="L44" s="579"/>
      <c r="M44" s="16" t="s">
        <v>382</v>
      </c>
      <c r="N44" s="35"/>
      <c r="O44" s="146" t="s">
        <v>383</v>
      </c>
      <c r="P44" s="35"/>
      <c r="Q44" s="146" t="s">
        <v>384</v>
      </c>
      <c r="R44" s="36"/>
      <c r="S44" s="507" t="s">
        <v>385</v>
      </c>
      <c r="T44" s="35"/>
      <c r="U44" s="15"/>
      <c r="V44" s="577" t="str">
        <f>'操業条件'!F4</f>
        <v>月間就労日数　　（ｄ／Ｍ）</v>
      </c>
      <c r="W44" s="576"/>
      <c r="X44" s="574" t="str">
        <f>'操業条件'!B5</f>
        <v>製品生産量　　　　（ｔ/月）</v>
      </c>
      <c r="Y44" s="576"/>
      <c r="Z44" s="574" t="str">
        <f>'操業条件'!B15</f>
        <v>月間溶解量　　（ｔ／Ｍ）</v>
      </c>
      <c r="AA44" s="575"/>
      <c r="AB44" s="572" t="s">
        <v>880</v>
      </c>
      <c r="AC44" s="573"/>
      <c r="AD44" s="15"/>
    </row>
    <row r="45" spans="1:30" ht="15" thickBot="1" thickTop="1">
      <c r="A45" s="41"/>
      <c r="B45" s="1" t="str">
        <f aca="true" t="shared" si="2" ref="B45:B64">C4</f>
        <v>　工程</v>
      </c>
      <c r="C45" s="147" t="str">
        <f>R3</f>
        <v>方案歩留り５０％</v>
      </c>
      <c r="D45" s="147" t="str">
        <f>V3</f>
        <v>方案歩留り６０％</v>
      </c>
      <c r="E45" s="147" t="str">
        <f>C45</f>
        <v>方案歩留り５０％</v>
      </c>
      <c r="F45" s="148" t="str">
        <f>D45</f>
        <v>方案歩留り６０％</v>
      </c>
      <c r="G45" s="149" t="str">
        <f>C45</f>
        <v>方案歩留り５０％</v>
      </c>
      <c r="H45" s="147" t="str">
        <f>D45</f>
        <v>方案歩留り６０％</v>
      </c>
      <c r="I45" s="150" t="str">
        <f aca="true" t="shared" si="3" ref="I45:T45">G45</f>
        <v>方案歩留り５０％</v>
      </c>
      <c r="J45" s="147" t="str">
        <f t="shared" si="3"/>
        <v>方案歩留り６０％</v>
      </c>
      <c r="K45" s="149" t="str">
        <f t="shared" si="3"/>
        <v>方案歩留り５０％</v>
      </c>
      <c r="L45" s="147" t="str">
        <f t="shared" si="3"/>
        <v>方案歩留り６０％</v>
      </c>
      <c r="M45" s="147" t="str">
        <f t="shared" si="3"/>
        <v>方案歩留り５０％</v>
      </c>
      <c r="N45" s="147" t="str">
        <f t="shared" si="3"/>
        <v>方案歩留り６０％</v>
      </c>
      <c r="O45" s="149" t="str">
        <f t="shared" si="3"/>
        <v>方案歩留り５０％</v>
      </c>
      <c r="P45" s="147" t="str">
        <f t="shared" si="3"/>
        <v>方案歩留り６０％</v>
      </c>
      <c r="Q45" s="149" t="str">
        <f t="shared" si="3"/>
        <v>方案歩留り５０％</v>
      </c>
      <c r="R45" s="147" t="str">
        <f t="shared" si="3"/>
        <v>方案歩留り６０％</v>
      </c>
      <c r="S45" s="149" t="str">
        <f t="shared" si="3"/>
        <v>方案歩留り５０％</v>
      </c>
      <c r="T45" s="147" t="str">
        <f t="shared" si="3"/>
        <v>方案歩留り６０％</v>
      </c>
      <c r="U45" s="15"/>
      <c r="V45" s="138"/>
      <c r="W45" s="29"/>
      <c r="X45" s="147" t="str">
        <f>K45</f>
        <v>方案歩留り５０％</v>
      </c>
      <c r="Y45" s="147" t="str">
        <f>L45</f>
        <v>方案歩留り６０％</v>
      </c>
      <c r="Z45" s="147" t="str">
        <f>X45</f>
        <v>方案歩留り５０％</v>
      </c>
      <c r="AA45" s="147" t="str">
        <f>Y45</f>
        <v>方案歩留り６０％</v>
      </c>
      <c r="AB45" s="506" t="str">
        <f>Z45</f>
        <v>方案歩留り５０％</v>
      </c>
      <c r="AC45" s="147" t="str">
        <f>AA45</f>
        <v>方案歩留り６０％</v>
      </c>
      <c r="AD45" s="15"/>
    </row>
    <row r="46" spans="1:30" ht="14.25">
      <c r="A46" s="14"/>
      <c r="B46" s="16" t="str">
        <f t="shared" si="2"/>
        <v>　溶解</v>
      </c>
      <c r="C46" s="151">
        <f>'操業条件'!Z6</f>
        <v>1.1066428918773205E-05</v>
      </c>
      <c r="D46" s="125">
        <f>'操業条件'!AA6</f>
        <v>8.863496409555244E-06</v>
      </c>
      <c r="E46" s="152">
        <f>'賃率、経費'!G14</f>
        <v>3651.9036519036517</v>
      </c>
      <c r="F46" s="152">
        <f>'賃率、経費'!H14</f>
        <v>3651.9036519036517</v>
      </c>
      <c r="G46" s="153">
        <f aca="true" t="shared" si="4" ref="G46:H50">IF(C46&gt;=0,C46,0)</f>
        <v>1.1066428918773205E-05</v>
      </c>
      <c r="H46" s="151">
        <f t="shared" si="4"/>
        <v>8.863496409555244E-06</v>
      </c>
      <c r="I46" s="151">
        <f>H5*G46*V46</f>
        <v>0.0012276358480559075</v>
      </c>
      <c r="J46" s="151">
        <f>K5*H46*V46</f>
        <v>0.000983257201699995</v>
      </c>
      <c r="K46" s="154">
        <f aca="true" t="shared" si="5" ref="K46:L50">E46*I46</f>
        <v>4.4832078367232056</v>
      </c>
      <c r="L46" s="155">
        <f t="shared" si="5"/>
        <v>3.590760565648777</v>
      </c>
      <c r="M46" s="155">
        <f aca="true" t="shared" si="6" ref="M46:N50">K46/X46</f>
        <v>0.007477721054943949</v>
      </c>
      <c r="N46" s="156">
        <f t="shared" si="6"/>
        <v>0.004990674787626828</v>
      </c>
      <c r="O46" s="153">
        <f>(Q5+I46)/Z46</f>
        <v>0.6570323594149365</v>
      </c>
      <c r="P46" s="151">
        <f>(U5+J46)/AA46</f>
        <v>0.6570323473533182</v>
      </c>
      <c r="Q46" s="153">
        <f>(Q5+I46)/X46/D24*100</f>
        <v>1.3877280117754018</v>
      </c>
      <c r="R46" s="151">
        <f>(U5+J46)/Y46/E24*100</f>
        <v>1.1563695920427433</v>
      </c>
      <c r="S46" s="157">
        <f aca="true" t="shared" si="7" ref="S46:T50">Q46*AB46</f>
        <v>9035.861074923145</v>
      </c>
      <c r="T46" s="152">
        <f t="shared" si="7"/>
        <v>7529.426691722657</v>
      </c>
      <c r="U46" s="15"/>
      <c r="V46" s="158">
        <f>'操業条件'!H4</f>
        <v>22</v>
      </c>
      <c r="W46" s="141"/>
      <c r="X46" s="159">
        <f>'操業条件'!C5</f>
        <v>599.542</v>
      </c>
      <c r="Y46" s="159">
        <f>'操業条件'!D5</f>
        <v>719.494</v>
      </c>
      <c r="Z46" s="155">
        <f>'操業条件'!C15</f>
        <v>1266.3017516773677</v>
      </c>
      <c r="AA46" s="155">
        <f>'操業条件'!D15</f>
        <v>1266.3014029806882</v>
      </c>
      <c r="AB46" s="160">
        <f>'賃率、経費'!G20</f>
        <v>6511.262292214624</v>
      </c>
      <c r="AC46" s="161">
        <f>'賃率、経費'!H20</f>
        <v>6511.263132076846</v>
      </c>
      <c r="AD46" s="15"/>
    </row>
    <row r="47" spans="1:30" ht="14.25">
      <c r="A47" s="78" t="str">
        <f>B6</f>
        <v>　溶解・</v>
      </c>
      <c r="B47" s="26" t="str">
        <f t="shared" si="2"/>
        <v>　注湯</v>
      </c>
      <c r="C47" s="83">
        <f aca="true" t="shared" si="8" ref="C47:F50">C46</f>
        <v>1.1066428918773205E-05</v>
      </c>
      <c r="D47" s="92">
        <f t="shared" si="8"/>
        <v>8.863496409555244E-06</v>
      </c>
      <c r="E47" s="161">
        <f t="shared" si="8"/>
        <v>3651.9036519036517</v>
      </c>
      <c r="F47" s="161">
        <f t="shared" si="8"/>
        <v>3651.9036519036517</v>
      </c>
      <c r="G47" s="162">
        <f t="shared" si="4"/>
        <v>1.1066428918773205E-05</v>
      </c>
      <c r="H47" s="83">
        <f t="shared" si="4"/>
        <v>8.863496409555244E-06</v>
      </c>
      <c r="I47" s="83">
        <f>H6*G47*V47</f>
        <v>0.0018414537720838615</v>
      </c>
      <c r="J47" s="83">
        <f>K6*H47*V47</f>
        <v>0.0014748858025499928</v>
      </c>
      <c r="K47" s="163">
        <f t="shared" si="5"/>
        <v>6.724811755084809</v>
      </c>
      <c r="L47" s="103">
        <f t="shared" si="5"/>
        <v>5.386140848473167</v>
      </c>
      <c r="M47" s="103">
        <f t="shared" si="6"/>
        <v>0.011216581582415924</v>
      </c>
      <c r="N47" s="164">
        <f t="shared" si="6"/>
        <v>0.007486012181440244</v>
      </c>
      <c r="O47" s="162">
        <f>(Q6+I47)/Z47</f>
        <v>0.9855485391224051</v>
      </c>
      <c r="P47" s="83">
        <f>(U6+J47)/AA47</f>
        <v>0.9855485210299775</v>
      </c>
      <c r="Q47" s="162">
        <f>(Q6+I47)/X47/D24*100</f>
        <v>2.0815920176631035</v>
      </c>
      <c r="R47" s="83">
        <f>(U6+J47)/Y47/E24*100</f>
        <v>1.7345543880641154</v>
      </c>
      <c r="S47" s="165">
        <f t="shared" si="7"/>
        <v>13553.791612384723</v>
      </c>
      <c r="T47" s="161">
        <f t="shared" si="7"/>
        <v>11294.14003758399</v>
      </c>
      <c r="U47" s="15"/>
      <c r="V47" s="166">
        <f>V46</f>
        <v>22</v>
      </c>
      <c r="W47" s="99"/>
      <c r="X47" s="98">
        <f aca="true" t="shared" si="9" ref="X47:AC50">X46</f>
        <v>599.542</v>
      </c>
      <c r="Y47" s="98">
        <f t="shared" si="9"/>
        <v>719.494</v>
      </c>
      <c r="Z47" s="103">
        <f t="shared" si="9"/>
        <v>1266.3017516773677</v>
      </c>
      <c r="AA47" s="103">
        <f t="shared" si="9"/>
        <v>1266.3014029806882</v>
      </c>
      <c r="AB47" s="160">
        <f t="shared" si="9"/>
        <v>6511.262292214624</v>
      </c>
      <c r="AC47" s="161">
        <f t="shared" si="9"/>
        <v>6511.263132076846</v>
      </c>
      <c r="AD47" s="15"/>
    </row>
    <row r="48" spans="1:30" ht="14.25">
      <c r="A48" s="78" t="str">
        <f>B7</f>
        <v>　　鋳造</v>
      </c>
      <c r="B48" s="26" t="str">
        <f t="shared" si="2"/>
        <v>　砂処理</v>
      </c>
      <c r="C48" s="83">
        <f t="shared" si="8"/>
        <v>1.1066428918773205E-05</v>
      </c>
      <c r="D48" s="92">
        <f t="shared" si="8"/>
        <v>8.863496409555244E-06</v>
      </c>
      <c r="E48" s="161">
        <f t="shared" si="8"/>
        <v>3651.9036519036517</v>
      </c>
      <c r="F48" s="161">
        <f t="shared" si="8"/>
        <v>3651.9036519036517</v>
      </c>
      <c r="G48" s="162">
        <f t="shared" si="4"/>
        <v>1.1066428918773205E-05</v>
      </c>
      <c r="H48" s="83">
        <f t="shared" si="4"/>
        <v>8.863496409555244E-06</v>
      </c>
      <c r="I48" s="83">
        <f>H7*G48*V48</f>
        <v>0.0006138179240279538</v>
      </c>
      <c r="J48" s="83">
        <f>K7*H48*V48</f>
        <v>0.0004916286008499975</v>
      </c>
      <c r="K48" s="163">
        <f t="shared" si="5"/>
        <v>2.2416039183616028</v>
      </c>
      <c r="L48" s="103">
        <f t="shared" si="5"/>
        <v>1.7953802828243886</v>
      </c>
      <c r="M48" s="103">
        <f t="shared" si="6"/>
        <v>0.0037388605274719746</v>
      </c>
      <c r="N48" s="164">
        <f t="shared" si="6"/>
        <v>0.002495337393813414</v>
      </c>
      <c r="O48" s="162">
        <f>(Q7+I48)/Z48</f>
        <v>0.32851617970746827</v>
      </c>
      <c r="P48" s="83">
        <f>(U7+J48)/AA48</f>
        <v>0.3285161736766591</v>
      </c>
      <c r="Q48" s="162">
        <f>(Q7+I48)/X48/D24*100</f>
        <v>0.6938640058877009</v>
      </c>
      <c r="R48" s="83">
        <f>(U7+J48)/Y48/E24*100</f>
        <v>0.5781847960213716</v>
      </c>
      <c r="S48" s="165">
        <f t="shared" si="7"/>
        <v>4517.930537461572</v>
      </c>
      <c r="T48" s="161">
        <f t="shared" si="7"/>
        <v>3764.7133458613284</v>
      </c>
      <c r="U48" s="15"/>
      <c r="V48" s="166">
        <f>V47</f>
        <v>22</v>
      </c>
      <c r="W48" s="99"/>
      <c r="X48" s="98">
        <f t="shared" si="9"/>
        <v>599.542</v>
      </c>
      <c r="Y48" s="98">
        <f t="shared" si="9"/>
        <v>719.494</v>
      </c>
      <c r="Z48" s="103">
        <f t="shared" si="9"/>
        <v>1266.3017516773677</v>
      </c>
      <c r="AA48" s="103">
        <f t="shared" si="9"/>
        <v>1266.3014029806882</v>
      </c>
      <c r="AB48" s="160">
        <f t="shared" si="9"/>
        <v>6511.262292214624</v>
      </c>
      <c r="AC48" s="161">
        <f t="shared" si="9"/>
        <v>6511.263132076846</v>
      </c>
      <c r="AD48" s="15"/>
    </row>
    <row r="49" spans="1:30" ht="14.25">
      <c r="A49" s="41"/>
      <c r="B49" s="26" t="str">
        <f t="shared" si="2"/>
        <v>　造形</v>
      </c>
      <c r="C49" s="83">
        <f t="shared" si="8"/>
        <v>1.1066428918773205E-05</v>
      </c>
      <c r="D49" s="92">
        <f t="shared" si="8"/>
        <v>8.863496409555244E-06</v>
      </c>
      <c r="E49" s="161">
        <f t="shared" si="8"/>
        <v>3651.9036519036517</v>
      </c>
      <c r="F49" s="161">
        <f t="shared" si="8"/>
        <v>3651.9036519036517</v>
      </c>
      <c r="G49" s="162">
        <f t="shared" si="4"/>
        <v>1.1066428918773205E-05</v>
      </c>
      <c r="H49" s="83">
        <f t="shared" si="4"/>
        <v>8.863496409555244E-06</v>
      </c>
      <c r="I49" s="83">
        <f>H8*G49*V49</f>
        <v>0.0018414537720838615</v>
      </c>
      <c r="J49" s="83">
        <f>K8*H49*V49</f>
        <v>0.0014748858025499928</v>
      </c>
      <c r="K49" s="163">
        <f t="shared" si="5"/>
        <v>6.724811755084809</v>
      </c>
      <c r="L49" s="103">
        <f t="shared" si="5"/>
        <v>5.386140848473167</v>
      </c>
      <c r="M49" s="103">
        <f t="shared" si="6"/>
        <v>0.011216581582415924</v>
      </c>
      <c r="N49" s="164">
        <f t="shared" si="6"/>
        <v>0.007486012181440244</v>
      </c>
      <c r="O49" s="162">
        <f>(Q8+I49)/Z49</f>
        <v>0.9855485391224051</v>
      </c>
      <c r="P49" s="83">
        <f>(U8+J49)/AA49</f>
        <v>0.9855485210299775</v>
      </c>
      <c r="Q49" s="162">
        <f>(Q8+I49)/X49/D24*100</f>
        <v>2.0815920176631035</v>
      </c>
      <c r="R49" s="83">
        <f>(U8+J49)/Y49/E24*100</f>
        <v>1.7345543880641154</v>
      </c>
      <c r="S49" s="165">
        <f t="shared" si="7"/>
        <v>13553.791612384723</v>
      </c>
      <c r="T49" s="161">
        <f t="shared" si="7"/>
        <v>11294.14003758399</v>
      </c>
      <c r="U49" s="15"/>
      <c r="V49" s="166">
        <f>V48</f>
        <v>22</v>
      </c>
      <c r="W49" s="99"/>
      <c r="X49" s="98">
        <f t="shared" si="9"/>
        <v>599.542</v>
      </c>
      <c r="Y49" s="98">
        <f t="shared" si="9"/>
        <v>719.494</v>
      </c>
      <c r="Z49" s="103">
        <f t="shared" si="9"/>
        <v>1266.3017516773677</v>
      </c>
      <c r="AA49" s="103">
        <f t="shared" si="9"/>
        <v>1266.3014029806882</v>
      </c>
      <c r="AB49" s="160">
        <f t="shared" si="9"/>
        <v>6511.262292214624</v>
      </c>
      <c r="AC49" s="161">
        <f t="shared" si="9"/>
        <v>6511.263132076846</v>
      </c>
      <c r="AD49" s="15"/>
    </row>
    <row r="50" spans="1:30" ht="14.25">
      <c r="A50" s="41"/>
      <c r="B50" s="26" t="str">
        <f t="shared" si="2"/>
        <v>　セキ折り</v>
      </c>
      <c r="C50" s="83">
        <f t="shared" si="8"/>
        <v>1.1066428918773205E-05</v>
      </c>
      <c r="D50" s="92">
        <f t="shared" si="8"/>
        <v>8.863496409555244E-06</v>
      </c>
      <c r="E50" s="161">
        <f t="shared" si="8"/>
        <v>3651.9036519036517</v>
      </c>
      <c r="F50" s="161">
        <f t="shared" si="8"/>
        <v>3651.9036519036517</v>
      </c>
      <c r="G50" s="162">
        <f t="shared" si="4"/>
        <v>1.1066428918773205E-05</v>
      </c>
      <c r="H50" s="83">
        <f t="shared" si="4"/>
        <v>8.863496409555244E-06</v>
      </c>
      <c r="I50" s="83">
        <f>H9*G50*V50</f>
        <v>0.003682907544167723</v>
      </c>
      <c r="J50" s="83">
        <f>K9*H50*V50</f>
        <v>0.0029497716050999856</v>
      </c>
      <c r="K50" s="163">
        <f t="shared" si="5"/>
        <v>13.449623510169618</v>
      </c>
      <c r="L50" s="103">
        <f t="shared" si="5"/>
        <v>10.772281696946335</v>
      </c>
      <c r="M50" s="103">
        <f t="shared" si="6"/>
        <v>0.02243316316483185</v>
      </c>
      <c r="N50" s="164">
        <f t="shared" si="6"/>
        <v>0.014972024362880488</v>
      </c>
      <c r="O50" s="162">
        <f>(Q9+I50)/Z50</f>
        <v>1.9710970782448103</v>
      </c>
      <c r="P50" s="83">
        <f>(U9+J50)/AA50</f>
        <v>1.971097042059955</v>
      </c>
      <c r="Q50" s="162">
        <f>(Q9+I50)/X50/D24*100</f>
        <v>4.163184035326207</v>
      </c>
      <c r="R50" s="83">
        <f>(U9+J50)/Y50/E24*100</f>
        <v>3.469108776128231</v>
      </c>
      <c r="S50" s="165">
        <f t="shared" si="7"/>
        <v>27107.583224769445</v>
      </c>
      <c r="T50" s="161">
        <f t="shared" si="7"/>
        <v>22588.28007516798</v>
      </c>
      <c r="U50" s="15"/>
      <c r="V50" s="166">
        <f>V49</f>
        <v>22</v>
      </c>
      <c r="W50" s="99"/>
      <c r="X50" s="98">
        <f t="shared" si="9"/>
        <v>599.542</v>
      </c>
      <c r="Y50" s="98">
        <f t="shared" si="9"/>
        <v>719.494</v>
      </c>
      <c r="Z50" s="103">
        <f t="shared" si="9"/>
        <v>1266.3017516773677</v>
      </c>
      <c r="AA50" s="103">
        <f t="shared" si="9"/>
        <v>1266.3014029806882</v>
      </c>
      <c r="AB50" s="160">
        <f t="shared" si="9"/>
        <v>6511.262292214624</v>
      </c>
      <c r="AC50" s="161">
        <f t="shared" si="9"/>
        <v>6511.263132076846</v>
      </c>
      <c r="AD50" s="15"/>
    </row>
    <row r="51" spans="1:30" ht="14.25">
      <c r="A51" s="41"/>
      <c r="B51" s="26" t="str">
        <f t="shared" si="2"/>
        <v>　管理者他</v>
      </c>
      <c r="C51" s="83"/>
      <c r="D51" s="92"/>
      <c r="E51" s="161"/>
      <c r="F51" s="161"/>
      <c r="G51" s="167"/>
      <c r="H51" s="83"/>
      <c r="I51" s="83"/>
      <c r="J51" s="83"/>
      <c r="K51" s="163"/>
      <c r="L51" s="103"/>
      <c r="M51" s="103"/>
      <c r="N51" s="164"/>
      <c r="O51" s="162"/>
      <c r="P51" s="83"/>
      <c r="Q51" s="162"/>
      <c r="R51" s="83"/>
      <c r="S51" s="165"/>
      <c r="T51" s="161"/>
      <c r="U51" s="15"/>
      <c r="V51" s="140"/>
      <c r="W51" s="99"/>
      <c r="X51" s="99"/>
      <c r="Y51" s="99"/>
      <c r="Z51" s="103"/>
      <c r="AA51" s="103"/>
      <c r="AB51" s="160"/>
      <c r="AC51" s="161"/>
      <c r="AD51" s="15"/>
    </row>
    <row r="52" spans="1:30" ht="14.25">
      <c r="A52" s="41"/>
      <c r="B52" s="50" t="str">
        <f t="shared" si="2"/>
        <v>　　小計</v>
      </c>
      <c r="C52" s="168"/>
      <c r="D52" s="128"/>
      <c r="E52" s="169"/>
      <c r="F52" s="169"/>
      <c r="G52" s="170"/>
      <c r="H52" s="168"/>
      <c r="I52" s="168"/>
      <c r="J52" s="168"/>
      <c r="K52" s="171">
        <f aca="true" t="shared" si="10" ref="K52:T52">SUM(K46:K50)</f>
        <v>33.62405877542405</v>
      </c>
      <c r="L52" s="172">
        <f t="shared" si="10"/>
        <v>26.930704242365834</v>
      </c>
      <c r="M52" s="172">
        <f t="shared" si="10"/>
        <v>0.05608290791207962</v>
      </c>
      <c r="N52" s="173">
        <f t="shared" si="10"/>
        <v>0.03743006090720122</v>
      </c>
      <c r="O52" s="174">
        <f t="shared" si="10"/>
        <v>4.927742695612025</v>
      </c>
      <c r="P52" s="168">
        <f t="shared" si="10"/>
        <v>4.927742605149887</v>
      </c>
      <c r="Q52" s="174">
        <f t="shared" si="10"/>
        <v>10.407960088315516</v>
      </c>
      <c r="R52" s="168">
        <f t="shared" si="10"/>
        <v>8.672771940320576</v>
      </c>
      <c r="S52" s="175">
        <f t="shared" si="10"/>
        <v>67768.95806192361</v>
      </c>
      <c r="T52" s="169">
        <f t="shared" si="10"/>
        <v>56470.70018791994</v>
      </c>
      <c r="U52" s="15"/>
      <c r="V52" s="143"/>
      <c r="W52" s="142"/>
      <c r="X52" s="142"/>
      <c r="Y52" s="142"/>
      <c r="Z52" s="172"/>
      <c r="AA52" s="172"/>
      <c r="AB52" s="176"/>
      <c r="AC52" s="169"/>
      <c r="AD52" s="15"/>
    </row>
    <row r="53" spans="1:30" ht="14.25">
      <c r="A53" s="17" t="str">
        <f>B12</f>
        <v>　仕上げ・</v>
      </c>
      <c r="B53" s="16" t="str">
        <f t="shared" si="2"/>
        <v>　ｼｮｯﾄ・検査</v>
      </c>
      <c r="C53" s="151">
        <f>C50</f>
        <v>1.1066428918773205E-05</v>
      </c>
      <c r="D53" s="125">
        <f>D50</f>
        <v>8.863496409555244E-06</v>
      </c>
      <c r="E53" s="152">
        <f>E50</f>
        <v>3651.9036519036517</v>
      </c>
      <c r="F53" s="152">
        <f>F50</f>
        <v>3651.9036519036517</v>
      </c>
      <c r="G53" s="153">
        <f aca="true" t="shared" si="11" ref="G53:H57">IF(C53&gt;=0,C53,0)</f>
        <v>1.1066428918773205E-05</v>
      </c>
      <c r="H53" s="151">
        <f t="shared" si="11"/>
        <v>8.863496409555244E-06</v>
      </c>
      <c r="I53" s="151">
        <f>H12*G53*V53</f>
        <v>0.001654431123356594</v>
      </c>
      <c r="J53" s="151">
        <f>K12*H53*V53</f>
        <v>0.001325092713228509</v>
      </c>
      <c r="K53" s="154">
        <f aca="true" t="shared" si="12" ref="K53:L57">E53*I53</f>
        <v>6.041823061209007</v>
      </c>
      <c r="L53" s="155">
        <f t="shared" si="12"/>
        <v>4.83911091855011</v>
      </c>
      <c r="M53" s="155">
        <f>K53/X53</f>
        <v>0.010077397515451806</v>
      </c>
      <c r="N53" s="156">
        <f>L53/Y53</f>
        <v>0.006725714069262719</v>
      </c>
      <c r="O53" s="153">
        <f>(Q12+I53)/Z53</f>
        <v>0.8854537656177857</v>
      </c>
      <c r="P53" s="151">
        <f>(U12+J53)/AA53</f>
        <v>0.8854537493628702</v>
      </c>
      <c r="Q53" s="153">
        <f>(Q12+I53)/X53/D24*100</f>
        <v>1.870180328369194</v>
      </c>
      <c r="R53" s="151">
        <f>(U12+J53)/Y53/E24*100</f>
        <v>1.5583887080263534</v>
      </c>
      <c r="S53" s="157">
        <f aca="true" t="shared" si="13" ref="S53:T57">Q53*AB53</f>
        <v>12177.234651751896</v>
      </c>
      <c r="T53" s="152">
        <f t="shared" si="13"/>
        <v>10147.078940016863</v>
      </c>
      <c r="U53" s="15"/>
      <c r="V53" s="177">
        <f>V50</f>
        <v>22</v>
      </c>
      <c r="W53" s="142"/>
      <c r="X53" s="139">
        <f aca="true" t="shared" si="14" ref="X53:AC53">X50</f>
        <v>599.542</v>
      </c>
      <c r="Y53" s="139">
        <f t="shared" si="14"/>
        <v>719.494</v>
      </c>
      <c r="Z53" s="172">
        <f t="shared" si="14"/>
        <v>1266.3017516773677</v>
      </c>
      <c r="AA53" s="172">
        <f t="shared" si="14"/>
        <v>1266.3014029806882</v>
      </c>
      <c r="AB53" s="176">
        <f t="shared" si="14"/>
        <v>6511.262292214624</v>
      </c>
      <c r="AC53" s="169">
        <f t="shared" si="14"/>
        <v>6511.263132076846</v>
      </c>
      <c r="AD53" s="15"/>
    </row>
    <row r="54" spans="1:30" ht="14.25">
      <c r="A54" s="78" t="str">
        <f>B13</f>
        <v>　　加工</v>
      </c>
      <c r="B54" s="26" t="str">
        <f t="shared" si="2"/>
        <v>　出荷検査</v>
      </c>
      <c r="C54" s="83">
        <f aca="true" t="shared" si="15" ref="C54:F57">C53</f>
        <v>1.1066428918773205E-05</v>
      </c>
      <c r="D54" s="92">
        <f t="shared" si="15"/>
        <v>8.863496409555244E-06</v>
      </c>
      <c r="E54" s="161">
        <f t="shared" si="15"/>
        <v>3651.9036519036517</v>
      </c>
      <c r="F54" s="161">
        <f t="shared" si="15"/>
        <v>3651.9036519036517</v>
      </c>
      <c r="G54" s="162">
        <f t="shared" si="11"/>
        <v>1.1066428918773205E-05</v>
      </c>
      <c r="H54" s="83">
        <f t="shared" si="11"/>
        <v>8.863496409555244E-06</v>
      </c>
      <c r="I54" s="83">
        <f>H13*G54*V54</f>
        <v>0.0009926586740139564</v>
      </c>
      <c r="J54" s="83">
        <f>K13*H54*V54</f>
        <v>0.0007950556279371054</v>
      </c>
      <c r="K54" s="163">
        <f t="shared" si="12"/>
        <v>3.6250938367254038</v>
      </c>
      <c r="L54" s="103">
        <f t="shared" si="12"/>
        <v>2.9034665511300664</v>
      </c>
      <c r="M54" s="103">
        <f aca="true" t="shared" si="16" ref="M54:N57">K53/X53</f>
        <v>0.010077397515451806</v>
      </c>
      <c r="N54" s="164">
        <f t="shared" si="16"/>
        <v>0.006725714069262719</v>
      </c>
      <c r="O54" s="162">
        <f>(Q13+I54)/Z54</f>
        <v>0.5312722593706714</v>
      </c>
      <c r="P54" s="83">
        <f>(U13+J54)/AA54</f>
        <v>0.5312722496177221</v>
      </c>
      <c r="Q54" s="162">
        <f>(Q13+I54)/X54/D24*100</f>
        <v>1.1221081970215163</v>
      </c>
      <c r="R54" s="83">
        <f>(U13+J54)/Y54/E24*100</f>
        <v>0.935033224815812</v>
      </c>
      <c r="S54" s="165">
        <f t="shared" si="13"/>
        <v>7306.340791051137</v>
      </c>
      <c r="T54" s="161">
        <f t="shared" si="13"/>
        <v>6088.247364010118</v>
      </c>
      <c r="U54" s="15"/>
      <c r="V54" s="166">
        <f>V53</f>
        <v>22</v>
      </c>
      <c r="W54" s="99"/>
      <c r="X54" s="98">
        <f aca="true" t="shared" si="17" ref="X54:AC57">X53</f>
        <v>599.542</v>
      </c>
      <c r="Y54" s="98">
        <f t="shared" si="17"/>
        <v>719.494</v>
      </c>
      <c r="Z54" s="103">
        <f t="shared" si="17"/>
        <v>1266.3017516773677</v>
      </c>
      <c r="AA54" s="103">
        <f t="shared" si="17"/>
        <v>1266.3014029806882</v>
      </c>
      <c r="AB54" s="160">
        <f t="shared" si="17"/>
        <v>6511.262292214624</v>
      </c>
      <c r="AC54" s="161">
        <f t="shared" si="17"/>
        <v>6511.263132076846</v>
      </c>
      <c r="AD54" s="15"/>
    </row>
    <row r="55" spans="1:30" ht="14.25">
      <c r="A55" s="41"/>
      <c r="B55" s="26" t="str">
        <f t="shared" si="2"/>
        <v>　ﾊﾞﾘ取りﾌﾟﾚｽ</v>
      </c>
      <c r="C55" s="83">
        <f t="shared" si="15"/>
        <v>1.1066428918773205E-05</v>
      </c>
      <c r="D55" s="92">
        <f t="shared" si="15"/>
        <v>8.863496409555244E-06</v>
      </c>
      <c r="E55" s="161">
        <f t="shared" si="15"/>
        <v>3651.9036519036517</v>
      </c>
      <c r="F55" s="161">
        <f t="shared" si="15"/>
        <v>3651.9036519036517</v>
      </c>
      <c r="G55" s="162">
        <f t="shared" si="11"/>
        <v>1.1066428918773205E-05</v>
      </c>
      <c r="H55" s="83">
        <f t="shared" si="11"/>
        <v>8.863496409555244E-06</v>
      </c>
      <c r="I55" s="83">
        <f>H14*G55*V55</f>
        <v>0.0009926586740139564</v>
      </c>
      <c r="J55" s="83">
        <f>K14*H55*V55</f>
        <v>0.0007950556279371054</v>
      </c>
      <c r="K55" s="163">
        <f t="shared" si="12"/>
        <v>3.6250938367254038</v>
      </c>
      <c r="L55" s="103">
        <f t="shared" si="12"/>
        <v>2.9034665511300664</v>
      </c>
      <c r="M55" s="103">
        <f t="shared" si="16"/>
        <v>0.006046438509271083</v>
      </c>
      <c r="N55" s="164">
        <f t="shared" si="16"/>
        <v>0.004035428441557631</v>
      </c>
      <c r="O55" s="162">
        <f>(Q14+I55)/Z55</f>
        <v>0.5312722593706714</v>
      </c>
      <c r="P55" s="83">
        <f>(U14+J55)/AA55</f>
        <v>0.5312722496177221</v>
      </c>
      <c r="Q55" s="162">
        <f>(Q14+I55)/X55/D24*100</f>
        <v>1.1221081970215163</v>
      </c>
      <c r="R55" s="83">
        <f>(U14+J55)/Y55/E24*100</f>
        <v>0.935033224815812</v>
      </c>
      <c r="S55" s="165">
        <f t="shared" si="13"/>
        <v>7306.340791051137</v>
      </c>
      <c r="T55" s="161">
        <f t="shared" si="13"/>
        <v>6088.247364010118</v>
      </c>
      <c r="U55" s="15"/>
      <c r="V55" s="166">
        <f>V54</f>
        <v>22</v>
      </c>
      <c r="W55" s="99"/>
      <c r="X55" s="98">
        <f t="shared" si="17"/>
        <v>599.542</v>
      </c>
      <c r="Y55" s="98">
        <f t="shared" si="17"/>
        <v>719.494</v>
      </c>
      <c r="Z55" s="103">
        <f t="shared" si="17"/>
        <v>1266.3017516773677</v>
      </c>
      <c r="AA55" s="103">
        <f t="shared" si="17"/>
        <v>1266.3014029806882</v>
      </c>
      <c r="AB55" s="160">
        <f t="shared" si="17"/>
        <v>6511.262292214624</v>
      </c>
      <c r="AC55" s="161">
        <f t="shared" si="17"/>
        <v>6511.263132076846</v>
      </c>
      <c r="AD55" s="15"/>
    </row>
    <row r="56" spans="1:30" ht="14.25">
      <c r="A56" s="41"/>
      <c r="B56" s="26" t="str">
        <f t="shared" si="2"/>
        <v>　機械加工</v>
      </c>
      <c r="C56" s="83">
        <f t="shared" si="15"/>
        <v>1.1066428918773205E-05</v>
      </c>
      <c r="D56" s="92">
        <f t="shared" si="15"/>
        <v>8.863496409555244E-06</v>
      </c>
      <c r="E56" s="161">
        <f t="shared" si="15"/>
        <v>3651.9036519036517</v>
      </c>
      <c r="F56" s="161">
        <f t="shared" si="15"/>
        <v>3651.9036519036517</v>
      </c>
      <c r="G56" s="162">
        <f t="shared" si="11"/>
        <v>1.1066428918773205E-05</v>
      </c>
      <c r="H56" s="83">
        <f t="shared" si="11"/>
        <v>8.863496409555244E-06</v>
      </c>
      <c r="I56" s="83">
        <f>H15*G56*V56</f>
        <v>0.001985317348027913</v>
      </c>
      <c r="J56" s="83">
        <f>K15*H56*V56</f>
        <v>0.0015901112558742109</v>
      </c>
      <c r="K56" s="163">
        <f t="shared" si="12"/>
        <v>7.2501876734508075</v>
      </c>
      <c r="L56" s="103">
        <f t="shared" si="12"/>
        <v>5.806933102260133</v>
      </c>
      <c r="M56" s="103">
        <f t="shared" si="16"/>
        <v>0.006046438509271083</v>
      </c>
      <c r="N56" s="164">
        <f t="shared" si="16"/>
        <v>0.004035428441557631</v>
      </c>
      <c r="O56" s="162">
        <f>(Q15+I56)/Z56</f>
        <v>1.0625445187413427</v>
      </c>
      <c r="P56" s="83">
        <f>(U15+J56)/AA56</f>
        <v>1.0625444992354443</v>
      </c>
      <c r="Q56" s="162">
        <f>(Q15+I56)/X56/D24*100</f>
        <v>2.2442163940430326</v>
      </c>
      <c r="R56" s="83">
        <f>(U15+J56)/Y56/E24*100</f>
        <v>1.870066449631624</v>
      </c>
      <c r="S56" s="165">
        <f t="shared" si="13"/>
        <v>14612.681582102274</v>
      </c>
      <c r="T56" s="161">
        <f t="shared" si="13"/>
        <v>12176.494728020236</v>
      </c>
      <c r="U56" s="15"/>
      <c r="V56" s="166">
        <f>V55</f>
        <v>22</v>
      </c>
      <c r="W56" s="99"/>
      <c r="X56" s="98">
        <f t="shared" si="17"/>
        <v>599.542</v>
      </c>
      <c r="Y56" s="98">
        <f t="shared" si="17"/>
        <v>719.494</v>
      </c>
      <c r="Z56" s="103">
        <f t="shared" si="17"/>
        <v>1266.3017516773677</v>
      </c>
      <c r="AA56" s="103">
        <f t="shared" si="17"/>
        <v>1266.3014029806882</v>
      </c>
      <c r="AB56" s="160">
        <f t="shared" si="17"/>
        <v>6511.262292214624</v>
      </c>
      <c r="AC56" s="161">
        <f t="shared" si="17"/>
        <v>6511.263132076846</v>
      </c>
      <c r="AD56" s="15"/>
    </row>
    <row r="57" spans="1:30" ht="14.25">
      <c r="A57" s="41"/>
      <c r="B57" s="26" t="str">
        <f t="shared" si="2"/>
        <v>　その他　雑</v>
      </c>
      <c r="C57" s="83">
        <f t="shared" si="15"/>
        <v>1.1066428918773205E-05</v>
      </c>
      <c r="D57" s="92">
        <f t="shared" si="15"/>
        <v>8.863496409555244E-06</v>
      </c>
      <c r="E57" s="161">
        <f t="shared" si="15"/>
        <v>3651.9036519036517</v>
      </c>
      <c r="F57" s="161">
        <f t="shared" si="15"/>
        <v>3651.9036519036517</v>
      </c>
      <c r="G57" s="162">
        <f t="shared" si="11"/>
        <v>1.1066428918773205E-05</v>
      </c>
      <c r="H57" s="83">
        <f t="shared" si="11"/>
        <v>8.863496409555244E-06</v>
      </c>
      <c r="I57" s="83">
        <f>H16*G57*V57</f>
        <v>0.0009926586740139564</v>
      </c>
      <c r="J57" s="83">
        <f>K16*H57*V57</f>
        <v>0.0007950556279371054</v>
      </c>
      <c r="K57" s="163">
        <f t="shared" si="12"/>
        <v>3.6250938367254038</v>
      </c>
      <c r="L57" s="103">
        <f t="shared" si="12"/>
        <v>2.9034665511300664</v>
      </c>
      <c r="M57" s="103">
        <f t="shared" si="16"/>
        <v>0.012092877018542166</v>
      </c>
      <c r="N57" s="164">
        <f t="shared" si="16"/>
        <v>0.008070856883115263</v>
      </c>
      <c r="O57" s="162">
        <f>(Q16+I57)/Z57</f>
        <v>0.5312722593706714</v>
      </c>
      <c r="P57" s="83">
        <f>(U16+J57)/AA57</f>
        <v>0.5312722496177221</v>
      </c>
      <c r="Q57" s="162">
        <f>(Q16+I57)/X57/D24*100</f>
        <v>1.1221081970215163</v>
      </c>
      <c r="R57" s="83">
        <f>(U16+J57)/Y57/E24*100</f>
        <v>0.935033224815812</v>
      </c>
      <c r="S57" s="165">
        <f t="shared" si="13"/>
        <v>7306.340791051137</v>
      </c>
      <c r="T57" s="161">
        <f t="shared" si="13"/>
        <v>6088.247364010118</v>
      </c>
      <c r="U57" s="15"/>
      <c r="V57" s="166">
        <f>V56</f>
        <v>22</v>
      </c>
      <c r="W57" s="99"/>
      <c r="X57" s="98">
        <f t="shared" si="17"/>
        <v>599.542</v>
      </c>
      <c r="Y57" s="98">
        <f t="shared" si="17"/>
        <v>719.494</v>
      </c>
      <c r="Z57" s="103">
        <f t="shared" si="17"/>
        <v>1266.3017516773677</v>
      </c>
      <c r="AA57" s="103">
        <f t="shared" si="17"/>
        <v>1266.3014029806882</v>
      </c>
      <c r="AB57" s="160">
        <f t="shared" si="17"/>
        <v>6511.262292214624</v>
      </c>
      <c r="AC57" s="161">
        <f t="shared" si="17"/>
        <v>6511.263132076846</v>
      </c>
      <c r="AD57" s="15"/>
    </row>
    <row r="58" spans="1:29" ht="14.25">
      <c r="A58" s="41"/>
      <c r="B58" s="26" t="str">
        <f t="shared" si="2"/>
        <v>　管理者他</v>
      </c>
      <c r="C58" s="92"/>
      <c r="D58" s="92"/>
      <c r="E58" s="99"/>
      <c r="F58" s="99"/>
      <c r="G58" s="178"/>
      <c r="H58" s="83"/>
      <c r="I58" s="83"/>
      <c r="J58" s="83"/>
      <c r="K58" s="163"/>
      <c r="L58" s="103"/>
      <c r="M58" s="103"/>
      <c r="N58" s="98"/>
      <c r="O58" s="162"/>
      <c r="P58" s="83"/>
      <c r="Q58" s="162"/>
      <c r="R58" s="83"/>
      <c r="S58" s="165"/>
      <c r="T58" s="161"/>
      <c r="U58" s="15"/>
      <c r="V58" s="22"/>
      <c r="W58" s="22"/>
      <c r="X58" s="22"/>
      <c r="Y58" s="22"/>
      <c r="Z58" s="22"/>
      <c r="AA58" s="22"/>
      <c r="AB58" s="22"/>
      <c r="AC58" s="22"/>
    </row>
    <row r="59" spans="1:21" ht="14.25">
      <c r="A59" s="41"/>
      <c r="B59" s="50" t="str">
        <f t="shared" si="2"/>
        <v>　　小計</v>
      </c>
      <c r="C59" s="128"/>
      <c r="D59" s="128"/>
      <c r="E59" s="142"/>
      <c r="F59" s="142"/>
      <c r="G59" s="11" t="s">
        <v>386</v>
      </c>
      <c r="H59" s="142"/>
      <c r="I59" s="142"/>
      <c r="J59" s="142"/>
      <c r="K59" s="171">
        <f aca="true" t="shared" si="18" ref="K59:T59">SUM(K53:K57)</f>
        <v>24.167292244836027</v>
      </c>
      <c r="L59" s="172">
        <f t="shared" si="18"/>
        <v>19.35644367420044</v>
      </c>
      <c r="M59" s="172">
        <f t="shared" si="18"/>
        <v>0.04434054906798794</v>
      </c>
      <c r="N59" s="173">
        <f t="shared" si="18"/>
        <v>0.02959314190475596</v>
      </c>
      <c r="O59" s="174">
        <f t="shared" si="18"/>
        <v>3.5418150624711426</v>
      </c>
      <c r="P59" s="168">
        <f t="shared" si="18"/>
        <v>3.5418149974514805</v>
      </c>
      <c r="Q59" s="174">
        <f t="shared" si="18"/>
        <v>7.480721313476776</v>
      </c>
      <c r="R59" s="168">
        <f t="shared" si="18"/>
        <v>6.233554832105413</v>
      </c>
      <c r="S59" s="175">
        <f t="shared" si="18"/>
        <v>48708.938607007585</v>
      </c>
      <c r="T59" s="169">
        <f t="shared" si="18"/>
        <v>40588.31576006745</v>
      </c>
      <c r="U59" s="15"/>
    </row>
    <row r="60" spans="1:21" ht="14.25">
      <c r="A60" s="17" t="str">
        <f>B19</f>
        <v>　製造間接</v>
      </c>
      <c r="B60" s="16" t="str">
        <f t="shared" si="2"/>
        <v>　保全</v>
      </c>
      <c r="C60" s="125"/>
      <c r="D60" s="125"/>
      <c r="E60" s="141"/>
      <c r="F60" s="141"/>
      <c r="G60" s="179"/>
      <c r="H60" s="141"/>
      <c r="I60" s="141"/>
      <c r="J60" s="141"/>
      <c r="K60" s="154"/>
      <c r="L60" s="155"/>
      <c r="M60" s="155"/>
      <c r="N60" s="141"/>
      <c r="O60" s="153"/>
      <c r="P60" s="151"/>
      <c r="Q60" s="153"/>
      <c r="R60" s="151"/>
      <c r="S60" s="157"/>
      <c r="T60" s="152"/>
      <c r="U60" s="15"/>
    </row>
    <row r="61" spans="1:21" ht="14.25">
      <c r="A61" s="180"/>
      <c r="B61" s="26" t="str">
        <f t="shared" si="2"/>
        <v>　技術</v>
      </c>
      <c r="C61" s="99"/>
      <c r="D61" s="99"/>
      <c r="E61" s="99"/>
      <c r="F61" s="99"/>
      <c r="G61" s="178"/>
      <c r="H61" s="99"/>
      <c r="I61" s="99"/>
      <c r="J61" s="99"/>
      <c r="K61" s="163"/>
      <c r="L61" s="103"/>
      <c r="M61" s="103"/>
      <c r="N61" s="99"/>
      <c r="O61" s="162"/>
      <c r="P61" s="83"/>
      <c r="Q61" s="162"/>
      <c r="R61" s="83"/>
      <c r="S61" s="165"/>
      <c r="T61" s="161"/>
      <c r="U61" s="15"/>
    </row>
    <row r="62" spans="1:21" ht="14.25">
      <c r="A62" s="180"/>
      <c r="B62" s="26" t="str">
        <f t="shared" si="2"/>
        <v>　品質保証</v>
      </c>
      <c r="C62" s="99"/>
      <c r="D62" s="99"/>
      <c r="E62" s="99"/>
      <c r="F62" s="99"/>
      <c r="G62" s="178"/>
      <c r="H62" s="99"/>
      <c r="I62" s="99"/>
      <c r="J62" s="99"/>
      <c r="K62" s="163"/>
      <c r="L62" s="103"/>
      <c r="M62" s="103"/>
      <c r="N62" s="99"/>
      <c r="O62" s="162"/>
      <c r="P62" s="83"/>
      <c r="Q62" s="162"/>
      <c r="R62" s="83"/>
      <c r="S62" s="165"/>
      <c r="T62" s="161"/>
      <c r="U62" s="15"/>
    </row>
    <row r="63" spans="1:21" ht="14.25">
      <c r="A63" s="180"/>
      <c r="B63" s="50" t="str">
        <f t="shared" si="2"/>
        <v>　　小計</v>
      </c>
      <c r="C63" s="142"/>
      <c r="D63" s="142"/>
      <c r="E63" s="142"/>
      <c r="F63" s="142"/>
      <c r="G63" s="181"/>
      <c r="H63" s="142"/>
      <c r="I63" s="142"/>
      <c r="J63" s="142"/>
      <c r="K63" s="171"/>
      <c r="L63" s="172"/>
      <c r="M63" s="172"/>
      <c r="N63" s="142"/>
      <c r="O63" s="174"/>
      <c r="P63" s="168"/>
      <c r="Q63" s="174"/>
      <c r="R63" s="168"/>
      <c r="S63" s="175"/>
      <c r="T63" s="169"/>
      <c r="U63" s="15"/>
    </row>
    <row r="64" spans="1:21" ht="14.25">
      <c r="A64" s="180"/>
      <c r="B64" s="50" t="str">
        <f t="shared" si="2"/>
        <v>　合　　　計</v>
      </c>
      <c r="C64" s="142"/>
      <c r="D64" s="142"/>
      <c r="E64" s="142"/>
      <c r="F64" s="142"/>
      <c r="G64" s="181"/>
      <c r="H64" s="142"/>
      <c r="I64" s="142"/>
      <c r="J64" s="142"/>
      <c r="K64" s="171">
        <f aca="true" t="shared" si="19" ref="K64:T64">K52+K59</f>
        <v>57.79135102026007</v>
      </c>
      <c r="L64" s="172">
        <f t="shared" si="19"/>
        <v>46.287147916566276</v>
      </c>
      <c r="M64" s="172">
        <f t="shared" si="19"/>
        <v>0.10042345698006756</v>
      </c>
      <c r="N64" s="173">
        <f t="shared" si="19"/>
        <v>0.06702320281195717</v>
      </c>
      <c r="O64" s="174">
        <f t="shared" si="19"/>
        <v>8.469557758083168</v>
      </c>
      <c r="P64" s="168">
        <f t="shared" si="19"/>
        <v>8.469557602601368</v>
      </c>
      <c r="Q64" s="174">
        <f t="shared" si="19"/>
        <v>17.88868140179229</v>
      </c>
      <c r="R64" s="168">
        <f t="shared" si="19"/>
        <v>14.906326772425988</v>
      </c>
      <c r="S64" s="175">
        <f t="shared" si="19"/>
        <v>116477.8966689312</v>
      </c>
      <c r="T64" s="169">
        <f t="shared" si="19"/>
        <v>97059.01594798738</v>
      </c>
      <c r="U64" s="15"/>
    </row>
    <row r="65" spans="1:20" ht="14.25">
      <c r="A65" s="22"/>
      <c r="B65" s="22"/>
      <c r="C65" s="22"/>
      <c r="D65" s="22"/>
      <c r="E65" s="22"/>
      <c r="F65" s="22"/>
      <c r="G65" s="22"/>
      <c r="H65" s="22"/>
      <c r="I65" s="22"/>
      <c r="J65" s="22"/>
      <c r="K65" s="22"/>
      <c r="L65" s="22"/>
      <c r="M65" s="22"/>
      <c r="N65" s="22"/>
      <c r="O65" s="22"/>
      <c r="P65" s="22"/>
      <c r="Q65" s="22"/>
      <c r="R65" s="22"/>
      <c r="S65" s="23" t="s">
        <v>387</v>
      </c>
      <c r="T65" s="22"/>
    </row>
    <row r="66" spans="17:19" ht="14.25">
      <c r="Q66" t="s">
        <v>388</v>
      </c>
      <c r="S66" s="88" t="s">
        <v>389</v>
      </c>
    </row>
    <row r="67" ht="14.25">
      <c r="Q67" s="88" t="s">
        <v>390</v>
      </c>
    </row>
  </sheetData>
  <sheetProtection sheet="1" objects="1" scenarios="1"/>
  <mergeCells count="12">
    <mergeCell ref="C44:D44"/>
    <mergeCell ref="F29:G29"/>
    <mergeCell ref="B24:C24"/>
    <mergeCell ref="F3:H3"/>
    <mergeCell ref="G44:H44"/>
    <mergeCell ref="I3:K3"/>
    <mergeCell ref="AB44:AC44"/>
    <mergeCell ref="Z44:AA44"/>
    <mergeCell ref="X44:Y44"/>
    <mergeCell ref="V44:W44"/>
    <mergeCell ref="K44:L44"/>
    <mergeCell ref="I44:J44"/>
  </mergeCells>
  <printOptions/>
  <pageMargins left="0.5" right="0.5861111111111111" top="0.7875" bottom="0.586111111111111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K25"/>
  <sheetViews>
    <sheetView showGridLines="0" showOutlineSymbols="0" workbookViewId="0" topLeftCell="A1">
      <selection activeCell="E24" sqref="E24"/>
    </sheetView>
  </sheetViews>
  <sheetFormatPr defaultColWidth="9.00390625" defaultRowHeight="14.25"/>
  <cols>
    <col min="1" max="2" width="10.75390625" style="0" customWidth="1"/>
    <col min="3" max="3" width="17.375" style="0" customWidth="1"/>
    <col min="4" max="7" width="10.50390625" style="0" customWidth="1"/>
    <col min="8" max="8" width="10.75390625" style="0" customWidth="1"/>
    <col min="9" max="10" width="8.50390625" style="0" customWidth="1"/>
    <col min="11" max="16384" width="10.75390625" style="0" customWidth="1"/>
  </cols>
  <sheetData>
    <row r="1" ht="15" thickBot="1">
      <c r="A1" s="90" t="s">
        <v>226</v>
      </c>
    </row>
    <row r="2" spans="2:8" ht="15" thickTop="1">
      <c r="B2" s="394"/>
      <c r="C2" s="401"/>
      <c r="D2" s="462"/>
      <c r="E2" s="401"/>
      <c r="F2" s="584" t="s">
        <v>391</v>
      </c>
      <c r="G2" s="562"/>
      <c r="H2" s="15"/>
    </row>
    <row r="3" spans="2:8" ht="15" thickBot="1">
      <c r="B3" s="403"/>
      <c r="C3" s="393"/>
      <c r="D3" s="471" t="str">
        <f>'電力'!D9</f>
        <v>方案歩留り５０％</v>
      </c>
      <c r="E3" s="471" t="str">
        <f>'電力'!E9</f>
        <v>方案歩留り６０％</v>
      </c>
      <c r="F3" s="511" t="str">
        <f>D3</f>
        <v>方案歩留り５０％</v>
      </c>
      <c r="G3" s="471" t="str">
        <f>E3</f>
        <v>方案歩留り６０％</v>
      </c>
      <c r="H3" s="15"/>
    </row>
    <row r="4" spans="1:8" ht="15.75">
      <c r="A4" s="24" t="s">
        <v>392</v>
      </c>
      <c r="B4" s="468" t="s">
        <v>393</v>
      </c>
      <c r="C4" s="398" t="s">
        <v>394</v>
      </c>
      <c r="D4" s="535">
        <v>30</v>
      </c>
      <c r="E4" s="535">
        <v>30</v>
      </c>
      <c r="F4" s="182">
        <f>D4*1000</f>
        <v>30000</v>
      </c>
      <c r="G4" s="156">
        <f>E4*1000</f>
        <v>30000</v>
      </c>
      <c r="H4" s="28" t="s">
        <v>395</v>
      </c>
    </row>
    <row r="5" spans="2:8" ht="14.25">
      <c r="B5" s="403"/>
      <c r="C5" s="406" t="s">
        <v>396</v>
      </c>
      <c r="D5" s="539">
        <v>25</v>
      </c>
      <c r="E5" s="539">
        <v>25</v>
      </c>
      <c r="F5" s="183">
        <f>D5*1000</f>
        <v>25000</v>
      </c>
      <c r="G5" s="164">
        <f>E5*1000</f>
        <v>25000</v>
      </c>
      <c r="H5" s="15"/>
    </row>
    <row r="6" spans="2:8" ht="14.25">
      <c r="B6" s="403"/>
      <c r="C6" s="406" t="s">
        <v>351</v>
      </c>
      <c r="D6" s="48"/>
      <c r="E6" s="48"/>
      <c r="F6" s="183">
        <f>SUM(F4:F5)</f>
        <v>55000</v>
      </c>
      <c r="G6" s="164">
        <f>SUM(G4:G5)</f>
        <v>55000</v>
      </c>
      <c r="H6" s="15"/>
    </row>
    <row r="7" spans="2:8" ht="14.25">
      <c r="B7" s="403"/>
      <c r="C7" s="425"/>
      <c r="D7" s="48"/>
      <c r="E7" s="48"/>
      <c r="F7" s="178"/>
      <c r="G7" s="99"/>
      <c r="H7" s="15"/>
    </row>
    <row r="8" spans="2:11" ht="14.25">
      <c r="B8" s="469" t="s">
        <v>397</v>
      </c>
      <c r="C8" s="408" t="s">
        <v>398</v>
      </c>
      <c r="D8" s="540">
        <v>10</v>
      </c>
      <c r="E8" s="540">
        <v>10</v>
      </c>
      <c r="F8" s="11">
        <f>D8*1000</f>
        <v>10000</v>
      </c>
      <c r="G8" s="139">
        <f>E8*1000</f>
        <v>10000</v>
      </c>
      <c r="H8" s="15"/>
      <c r="I8" s="512" t="str">
        <f>'操業条件'!B21</f>
        <v>原単位　（溶解　ｔ/製品t）</v>
      </c>
      <c r="J8" s="33"/>
      <c r="K8" s="34"/>
    </row>
    <row r="9" spans="2:11" ht="14.25">
      <c r="B9" s="403"/>
      <c r="C9" s="406" t="s">
        <v>399</v>
      </c>
      <c r="D9" s="539">
        <v>55</v>
      </c>
      <c r="E9" s="539">
        <v>55</v>
      </c>
      <c r="F9" s="183">
        <f>D9*D10*1000/I21</f>
        <v>13050.847457627118</v>
      </c>
      <c r="G9" s="164">
        <f>E9*E10*1000/J21</f>
        <v>13050.847457627118</v>
      </c>
      <c r="H9" s="15"/>
      <c r="I9" s="32">
        <f>'操業条件'!C21</f>
        <v>2.1121151673733745</v>
      </c>
      <c r="J9" s="32">
        <f>'操業条件'!D21</f>
        <v>1.7599888296228852</v>
      </c>
      <c r="K9" s="34"/>
    </row>
    <row r="10" spans="2:10" ht="14.25">
      <c r="B10" s="403"/>
      <c r="C10" s="406" t="s">
        <v>400</v>
      </c>
      <c r="D10" s="539">
        <v>1.4</v>
      </c>
      <c r="E10" s="539">
        <v>1.4</v>
      </c>
      <c r="F10" s="183"/>
      <c r="G10" s="164"/>
      <c r="H10" s="15"/>
      <c r="I10" s="6"/>
      <c r="J10" s="6"/>
    </row>
    <row r="11" spans="2:8" ht="14.25">
      <c r="B11" s="403"/>
      <c r="C11" s="406" t="s">
        <v>351</v>
      </c>
      <c r="D11" s="48"/>
      <c r="E11" s="48"/>
      <c r="F11" s="183">
        <f>SUM(F8:F9)</f>
        <v>23050.84745762712</v>
      </c>
      <c r="G11" s="164">
        <f>SUM(G8:G9)</f>
        <v>23050.84745762712</v>
      </c>
      <c r="H11" s="15"/>
    </row>
    <row r="12" spans="2:8" ht="14.25">
      <c r="B12" s="403"/>
      <c r="C12" s="425"/>
      <c r="D12" s="48"/>
      <c r="E12" s="48"/>
      <c r="F12" s="178"/>
      <c r="G12" s="99"/>
      <c r="H12" s="15"/>
    </row>
    <row r="13" spans="2:8" ht="14.25">
      <c r="B13" s="469" t="s">
        <v>122</v>
      </c>
      <c r="C13" s="408" t="s">
        <v>399</v>
      </c>
      <c r="D13" s="540">
        <v>55</v>
      </c>
      <c r="E13" s="540">
        <v>55</v>
      </c>
      <c r="F13" s="184">
        <f>D13*D14*1000/I21</f>
        <v>5593.22033898305</v>
      </c>
      <c r="G13" s="173">
        <f>E13*E14*1000/J21</f>
        <v>5593.22033898305</v>
      </c>
      <c r="H13" s="15"/>
    </row>
    <row r="14" spans="2:8" ht="14.25">
      <c r="B14" s="403"/>
      <c r="C14" s="406" t="s">
        <v>400</v>
      </c>
      <c r="D14" s="539">
        <v>0.6</v>
      </c>
      <c r="E14" s="539">
        <v>0.6</v>
      </c>
      <c r="F14" s="178"/>
      <c r="G14" s="99"/>
      <c r="H14" s="15"/>
    </row>
    <row r="15" spans="2:8" ht="14.25">
      <c r="B15" s="403"/>
      <c r="C15" s="406"/>
      <c r="D15" s="48"/>
      <c r="E15" s="48"/>
      <c r="F15" s="178"/>
      <c r="G15" s="99"/>
      <c r="H15" s="15"/>
    </row>
    <row r="16" spans="2:8" ht="14.25">
      <c r="B16" s="469" t="s">
        <v>401</v>
      </c>
      <c r="C16" s="408" t="s">
        <v>399</v>
      </c>
      <c r="D16" s="540">
        <v>55</v>
      </c>
      <c r="E16" s="540">
        <v>55</v>
      </c>
      <c r="F16" s="184">
        <f>D16*D17*1000/I21</f>
        <v>13050.847457627118</v>
      </c>
      <c r="G16" s="173">
        <f>E16*E17*1000/J21</f>
        <v>13050.847457627118</v>
      </c>
      <c r="H16" s="15"/>
    </row>
    <row r="17" spans="2:8" ht="14.25">
      <c r="B17" s="403"/>
      <c r="C17" s="406" t="s">
        <v>400</v>
      </c>
      <c r="D17" s="539">
        <v>1.4</v>
      </c>
      <c r="E17" s="539">
        <v>1.4</v>
      </c>
      <c r="F17" s="178"/>
      <c r="G17" s="99"/>
      <c r="H17" s="15"/>
    </row>
    <row r="18" spans="2:7" ht="15" thickBot="1" thickTop="1">
      <c r="B18" s="401"/>
      <c r="C18" s="402"/>
      <c r="D18" s="22"/>
      <c r="E18" s="22"/>
      <c r="F18" s="22"/>
      <c r="G18" s="22"/>
    </row>
    <row r="19" spans="2:8" ht="15" thickBot="1" thickTop="1">
      <c r="B19" s="394"/>
      <c r="C19" s="401"/>
      <c r="D19" s="401"/>
      <c r="E19" s="401"/>
      <c r="F19" s="585" t="s">
        <v>402</v>
      </c>
      <c r="G19" s="582"/>
      <c r="H19" s="15"/>
    </row>
    <row r="20" spans="2:11" ht="15" thickTop="1">
      <c r="B20" s="468" t="s">
        <v>403</v>
      </c>
      <c r="C20" s="398" t="s">
        <v>404</v>
      </c>
      <c r="D20" s="535">
        <v>3300</v>
      </c>
      <c r="E20" s="535">
        <v>3300</v>
      </c>
      <c r="F20" s="187"/>
      <c r="G20" s="159"/>
      <c r="H20" s="15"/>
      <c r="I20" s="106" t="s">
        <v>405</v>
      </c>
      <c r="J20" s="6"/>
      <c r="K20" s="34"/>
    </row>
    <row r="21" spans="2:11" ht="14.25">
      <c r="B21" s="403"/>
      <c r="C21" s="406" t="s">
        <v>406</v>
      </c>
      <c r="D21" s="539">
        <v>100</v>
      </c>
      <c r="E21" s="539">
        <v>100</v>
      </c>
      <c r="F21" s="178"/>
      <c r="G21" s="99"/>
      <c r="H21" s="15"/>
      <c r="I21" s="32">
        <f>'球化、他'!D19</f>
        <v>5.9</v>
      </c>
      <c r="J21" s="32">
        <f>'球化、他'!E19</f>
        <v>5.9</v>
      </c>
      <c r="K21" s="34"/>
    </row>
    <row r="22" spans="2:10" ht="14.25">
      <c r="B22" s="403"/>
      <c r="C22" s="498" t="s">
        <v>884</v>
      </c>
      <c r="D22" s="550">
        <v>55</v>
      </c>
      <c r="E22" s="550">
        <v>55</v>
      </c>
      <c r="F22" s="188">
        <f>D20/D21</f>
        <v>33</v>
      </c>
      <c r="G22" s="98">
        <f>E20/E21</f>
        <v>33</v>
      </c>
      <c r="H22" s="15"/>
      <c r="I22" s="6"/>
      <c r="J22" s="6"/>
    </row>
    <row r="23" spans="2:8" ht="14.25">
      <c r="B23" s="403"/>
      <c r="C23" s="406" t="s">
        <v>407</v>
      </c>
      <c r="D23" s="539">
        <v>1</v>
      </c>
      <c r="E23" s="539">
        <v>1</v>
      </c>
      <c r="F23" s="183">
        <f>D22*D23</f>
        <v>55</v>
      </c>
      <c r="G23" s="164">
        <f>E22*E23</f>
        <v>55</v>
      </c>
      <c r="H23" s="15"/>
    </row>
    <row r="24" spans="2:8" ht="14.25">
      <c r="B24" s="403"/>
      <c r="C24" s="406" t="s">
        <v>351</v>
      </c>
      <c r="D24" s="48"/>
      <c r="E24" s="48"/>
      <c r="F24" s="183">
        <f>SUM(F22:F23)</f>
        <v>88</v>
      </c>
      <c r="G24" s="164">
        <f>SUM(G22:G23)</f>
        <v>88</v>
      </c>
      <c r="H24" s="15"/>
    </row>
    <row r="25" spans="2:7" ht="14.25">
      <c r="B25" s="22"/>
      <c r="C25" s="22"/>
      <c r="D25" s="22"/>
      <c r="E25" s="22"/>
      <c r="F25" s="22"/>
      <c r="G25" s="22"/>
    </row>
  </sheetData>
  <sheetProtection sheet="1" objects="1" scenarios="1"/>
  <mergeCells count="2">
    <mergeCell ref="F2:G2"/>
    <mergeCell ref="F19:G19"/>
  </mergeCells>
  <printOptions/>
  <pageMargins left="0.5" right="0.5861111111111111" top="0.7875" bottom="0.586111111111111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N24"/>
  <sheetViews>
    <sheetView showGridLines="0" showOutlineSymbols="0" workbookViewId="0" topLeftCell="A1">
      <selection activeCell="F18" sqref="F18"/>
    </sheetView>
  </sheetViews>
  <sheetFormatPr defaultColWidth="9.00390625" defaultRowHeight="14.25"/>
  <cols>
    <col min="1" max="1" width="13.25390625" style="0" customWidth="1"/>
    <col min="2" max="2" width="12.75390625" style="0" customWidth="1"/>
    <col min="3" max="4" width="10.50390625" style="0" customWidth="1"/>
    <col min="5" max="5" width="3.75390625" style="0" customWidth="1"/>
    <col min="6" max="6" width="12.75390625" style="0" customWidth="1"/>
    <col min="7" max="8" width="10.50390625" style="0" customWidth="1"/>
    <col min="9" max="9" width="4.75390625" style="0" customWidth="1"/>
    <col min="10" max="10" width="2.75390625" style="0" customWidth="1"/>
    <col min="11" max="11" width="11.75390625" style="0" customWidth="1"/>
    <col min="12" max="12" width="8.75390625" style="0" customWidth="1"/>
    <col min="13" max="13" width="5.75390625" style="0" customWidth="1"/>
    <col min="14" max="14" width="4.75390625" style="0" customWidth="1"/>
    <col min="15" max="16384" width="10.75390625" style="0" customWidth="1"/>
  </cols>
  <sheetData>
    <row r="2" spans="4:11" ht="15.75">
      <c r="D2" s="27" t="s">
        <v>0</v>
      </c>
      <c r="E2" s="66" t="s">
        <v>1</v>
      </c>
      <c r="K2" s="93" t="s">
        <v>408</v>
      </c>
    </row>
    <row r="3" spans="4:11" ht="14.25">
      <c r="D3" s="6"/>
      <c r="K3" s="88" t="s">
        <v>409</v>
      </c>
    </row>
    <row r="4" spans="1:4" ht="14.25">
      <c r="A4" s="406" t="s">
        <v>410</v>
      </c>
      <c r="B4" s="539">
        <v>20</v>
      </c>
      <c r="C4" s="459" t="s">
        <v>411</v>
      </c>
      <c r="D4" s="34"/>
    </row>
    <row r="5" spans="1:14" ht="14.25">
      <c r="A5" s="33"/>
      <c r="B5" s="33"/>
      <c r="C5" s="6"/>
      <c r="K5" s="90" t="s">
        <v>412</v>
      </c>
      <c r="L5" s="96"/>
      <c r="M5" s="96"/>
      <c r="N5" s="96"/>
    </row>
    <row r="6" ht="14.25">
      <c r="K6" s="90" t="s">
        <v>413</v>
      </c>
    </row>
    <row r="7" spans="1:9" ht="14.25">
      <c r="A7" s="90" t="s">
        <v>414</v>
      </c>
      <c r="C7" s="96"/>
      <c r="G7" s="586" t="s">
        <v>415</v>
      </c>
      <c r="H7" s="587"/>
      <c r="I7" s="34"/>
    </row>
    <row r="8" spans="1:14" ht="14.25">
      <c r="A8" s="425"/>
      <c r="B8" s="459" t="s">
        <v>416</v>
      </c>
      <c r="C8" s="427"/>
      <c r="D8" s="470" t="s">
        <v>417</v>
      </c>
      <c r="E8" s="427"/>
      <c r="F8" s="470" t="s">
        <v>418</v>
      </c>
      <c r="G8" s="471" t="str">
        <f>G16</f>
        <v>方案歩留り５０％</v>
      </c>
      <c r="H8" s="471" t="str">
        <f>H19</f>
        <v>方案歩留り６０％</v>
      </c>
      <c r="I8" s="34"/>
      <c r="K8" s="90" t="s">
        <v>419</v>
      </c>
      <c r="L8" t="s">
        <v>420</v>
      </c>
      <c r="M8">
        <v>17.5</v>
      </c>
      <c r="N8" t="s">
        <v>93</v>
      </c>
    </row>
    <row r="9" spans="1:13" ht="14.25">
      <c r="A9" s="406" t="s">
        <v>421</v>
      </c>
      <c r="B9" s="441">
        <f>B4*100000000</f>
        <v>2000000000</v>
      </c>
      <c r="C9" s="472" t="s">
        <v>422</v>
      </c>
      <c r="D9" s="473">
        <f>M10/100</f>
        <v>0.188</v>
      </c>
      <c r="E9" s="473" t="s">
        <v>423</v>
      </c>
      <c r="F9" s="474">
        <f>B9*D9</f>
        <v>376000000</v>
      </c>
      <c r="G9" s="441">
        <f>F9/12/G17</f>
        <v>2921.5229215229215</v>
      </c>
      <c r="H9" s="441">
        <f>F9/12/H17</f>
        <v>2921.5229215229215</v>
      </c>
      <c r="I9" s="34"/>
      <c r="L9" t="s">
        <v>424</v>
      </c>
      <c r="M9">
        <v>1.3</v>
      </c>
    </row>
    <row r="10" spans="1:13" ht="14.25">
      <c r="A10" s="429" t="s">
        <v>425</v>
      </c>
      <c r="B10" s="475">
        <f>B4*100000000</f>
        <v>2000000000</v>
      </c>
      <c r="C10" s="476" t="s">
        <v>422</v>
      </c>
      <c r="D10" s="410">
        <f>M12/100</f>
        <v>0.034</v>
      </c>
      <c r="E10" s="410" t="s">
        <v>423</v>
      </c>
      <c r="F10" s="477">
        <f>B10*D10</f>
        <v>68000000</v>
      </c>
      <c r="G10" s="475">
        <f>F10/12/G17</f>
        <v>528.3605283605284</v>
      </c>
      <c r="H10" s="475">
        <f>F10/12/H17</f>
        <v>528.3605283605284</v>
      </c>
      <c r="I10" s="34"/>
      <c r="L10" s="23" t="s">
        <v>426</v>
      </c>
      <c r="M10" s="81">
        <f>SUM(M8:M9)</f>
        <v>18.8</v>
      </c>
    </row>
    <row r="11" spans="1:9" ht="14.25">
      <c r="A11" s="429" t="s">
        <v>427</v>
      </c>
      <c r="B11" s="475">
        <f>B4*100000000</f>
        <v>2000000000</v>
      </c>
      <c r="C11" s="476" t="s">
        <v>422</v>
      </c>
      <c r="D11" s="410">
        <f>M21/100</f>
        <v>0.19699999999999998</v>
      </c>
      <c r="E11" s="410" t="s">
        <v>423</v>
      </c>
      <c r="F11" s="477">
        <f>B11*D11</f>
        <v>393999999.99999994</v>
      </c>
      <c r="G11" s="475">
        <f>F11/12/G17</f>
        <v>3061.383061383061</v>
      </c>
      <c r="H11" s="475">
        <f>F11/12/H17</f>
        <v>3061.383061383061</v>
      </c>
      <c r="I11" s="34"/>
    </row>
    <row r="12" spans="1:14" ht="14.25">
      <c r="A12" s="398" t="s">
        <v>428</v>
      </c>
      <c r="B12" s="435"/>
      <c r="C12" s="478"/>
      <c r="D12" s="478"/>
      <c r="E12" s="478"/>
      <c r="F12" s="479">
        <f>SUM(F9:F11)</f>
        <v>838000000</v>
      </c>
      <c r="G12" s="480">
        <f>F12/12/G17</f>
        <v>6511.266511266511</v>
      </c>
      <c r="H12" s="480">
        <f>F12/12/H17</f>
        <v>6511.266511266511</v>
      </c>
      <c r="I12" s="34"/>
      <c r="K12" s="90" t="s">
        <v>429</v>
      </c>
      <c r="L12" t="s">
        <v>430</v>
      </c>
      <c r="M12" s="8">
        <v>3.4</v>
      </c>
      <c r="N12" t="s">
        <v>93</v>
      </c>
    </row>
    <row r="13" spans="1:8" ht="14.25">
      <c r="A13" s="33"/>
      <c r="B13" s="33"/>
      <c r="C13" s="33"/>
      <c r="D13" s="33"/>
      <c r="E13" s="33"/>
      <c r="F13" s="33"/>
      <c r="G13" s="33"/>
      <c r="H13" s="33"/>
    </row>
    <row r="14" spans="1:14" ht="14.25">
      <c r="A14" s="406" t="s">
        <v>431</v>
      </c>
      <c r="B14" s="427"/>
      <c r="C14" s="423" t="s">
        <v>432</v>
      </c>
      <c r="D14" s="427"/>
      <c r="E14" s="427"/>
      <c r="F14" s="539">
        <v>1.25</v>
      </c>
      <c r="G14" s="441">
        <f>G9*F14</f>
        <v>3651.9036519036517</v>
      </c>
      <c r="H14" s="441">
        <f>H9*F14</f>
        <v>3651.9036519036517</v>
      </c>
      <c r="I14" s="34"/>
      <c r="K14" s="90" t="s">
        <v>433</v>
      </c>
      <c r="L14" t="s">
        <v>434</v>
      </c>
      <c r="M14">
        <v>5.8</v>
      </c>
      <c r="N14" t="s">
        <v>93</v>
      </c>
    </row>
    <row r="15" spans="1:13" ht="14.25">
      <c r="A15" s="6"/>
      <c r="B15" s="33"/>
      <c r="C15" s="33"/>
      <c r="D15" s="33"/>
      <c r="E15" s="33"/>
      <c r="F15" s="33"/>
      <c r="G15" s="33"/>
      <c r="H15" s="33"/>
      <c r="L15" t="s">
        <v>435</v>
      </c>
      <c r="M15">
        <v>1.9</v>
      </c>
    </row>
    <row r="16" spans="1:13" ht="14.25">
      <c r="A16" s="425"/>
      <c r="B16" s="427"/>
      <c r="C16" s="427"/>
      <c r="D16" s="427"/>
      <c r="E16" s="427"/>
      <c r="F16" s="427"/>
      <c r="G16" s="471" t="str">
        <f>G19</f>
        <v>方案歩留り５０％</v>
      </c>
      <c r="H16" s="471" t="str">
        <f>H19</f>
        <v>方案歩留り６０％</v>
      </c>
      <c r="I16" s="34"/>
      <c r="L16" t="s">
        <v>436</v>
      </c>
      <c r="M16">
        <v>0.9</v>
      </c>
    </row>
    <row r="17" spans="1:13" ht="14.25">
      <c r="A17" s="406" t="s">
        <v>437</v>
      </c>
      <c r="B17" s="470" t="s">
        <v>438</v>
      </c>
      <c r="C17" s="427"/>
      <c r="D17" s="427"/>
      <c r="E17" s="427"/>
      <c r="F17" s="427"/>
      <c r="G17" s="441">
        <f>C22*C20*C23</f>
        <v>10725</v>
      </c>
      <c r="H17" s="441">
        <f>D22*D20*D23</f>
        <v>10725</v>
      </c>
      <c r="I17" s="481" t="s">
        <v>439</v>
      </c>
      <c r="J17" s="34"/>
      <c r="L17" t="s">
        <v>440</v>
      </c>
      <c r="M17">
        <v>0</v>
      </c>
    </row>
    <row r="18" spans="1:13" ht="14.25">
      <c r="A18" s="6"/>
      <c r="B18" s="6"/>
      <c r="C18" s="6"/>
      <c r="D18" s="6"/>
      <c r="E18" s="6"/>
      <c r="F18" s="6"/>
      <c r="G18" s="6"/>
      <c r="H18" s="6"/>
      <c r="I18" s="6"/>
      <c r="L18" t="s">
        <v>441</v>
      </c>
      <c r="M18">
        <v>2.3</v>
      </c>
    </row>
    <row r="19" spans="1:13" ht="14.25">
      <c r="A19" s="406"/>
      <c r="B19" s="423"/>
      <c r="C19" s="471" t="str">
        <f>G19</f>
        <v>方案歩留り５０％</v>
      </c>
      <c r="D19" s="471" t="str">
        <f>H19</f>
        <v>方案歩留り６０％</v>
      </c>
      <c r="E19" s="34"/>
      <c r="F19" s="425"/>
      <c r="G19" s="471" t="str">
        <f>'配合'!L11</f>
        <v>方案歩留り５０％</v>
      </c>
      <c r="H19" s="471" t="str">
        <f>'配合'!M11</f>
        <v>方案歩留り６０％</v>
      </c>
      <c r="I19" s="34"/>
      <c r="L19" s="88" t="s">
        <v>442</v>
      </c>
      <c r="M19">
        <v>0.9</v>
      </c>
    </row>
    <row r="20" spans="1:13" ht="14.25">
      <c r="A20" s="406" t="str">
        <f>'操業条件'!F4</f>
        <v>月間就労日数　　（ｄ／Ｍ）</v>
      </c>
      <c r="B20" s="427"/>
      <c r="C20" s="416">
        <f>'操業条件'!H4</f>
        <v>22</v>
      </c>
      <c r="D20" s="416">
        <f>C20</f>
        <v>22</v>
      </c>
      <c r="E20" s="34"/>
      <c r="F20" s="406" t="s">
        <v>443</v>
      </c>
      <c r="G20" s="416">
        <f>(G12*G21+G14*G22)/G23</f>
        <v>6511.262292214624</v>
      </c>
      <c r="H20" s="416">
        <f>(H12*H21+H14*H22)/H23</f>
        <v>6511.263132076846</v>
      </c>
      <c r="I20" s="34"/>
      <c r="L20" t="s">
        <v>444</v>
      </c>
      <c r="M20">
        <v>7.9</v>
      </c>
    </row>
    <row r="21" spans="1:13" ht="14.25">
      <c r="A21" s="406" t="str">
        <f>'操業条件'!F5</f>
        <v>日間就労時間　　（ｈｒ／ｄ）</v>
      </c>
      <c r="B21" s="427"/>
      <c r="C21" s="416">
        <f>'操業条件'!H5</f>
        <v>8</v>
      </c>
      <c r="D21" s="416">
        <f>C21</f>
        <v>8</v>
      </c>
      <c r="E21" s="34"/>
      <c r="F21" s="406" t="s">
        <v>445</v>
      </c>
      <c r="G21" s="416">
        <f>C22</f>
        <v>7.5</v>
      </c>
      <c r="H21" s="416">
        <f>G21</f>
        <v>7.5</v>
      </c>
      <c r="I21" s="34"/>
      <c r="L21" s="23" t="s">
        <v>426</v>
      </c>
      <c r="M21" s="81">
        <f>SUM(M14:M20)</f>
        <v>19.7</v>
      </c>
    </row>
    <row r="22" spans="1:9" ht="14.25">
      <c r="A22" s="406" t="str">
        <f>'操業条件'!F6</f>
        <v>定時溶解時間　　（ｈｒ／ｄ）</v>
      </c>
      <c r="B22" s="427"/>
      <c r="C22" s="416">
        <f>'操業条件'!H6</f>
        <v>7.5</v>
      </c>
      <c r="D22" s="416">
        <f>C22</f>
        <v>7.5</v>
      </c>
      <c r="E22" s="34"/>
      <c r="F22" s="406" t="s">
        <v>446</v>
      </c>
      <c r="G22" s="482">
        <f>'労働人員'!G46</f>
        <v>1.1066428918773205E-05</v>
      </c>
      <c r="H22" s="482">
        <f>'労働人員'!H46</f>
        <v>8.863496409555244E-06</v>
      </c>
      <c r="I22" s="34"/>
    </row>
    <row r="23" spans="1:9" ht="14.25">
      <c r="A23" s="406" t="s">
        <v>447</v>
      </c>
      <c r="B23" s="423"/>
      <c r="C23" s="416">
        <f>'労働人員'!D23</f>
        <v>65</v>
      </c>
      <c r="D23" s="416">
        <f>'労働人員'!E23</f>
        <v>65</v>
      </c>
      <c r="E23" s="34"/>
      <c r="F23" s="406" t="s">
        <v>448</v>
      </c>
      <c r="G23" s="482">
        <f>G21+G22</f>
        <v>7.500011066428919</v>
      </c>
      <c r="H23" s="482">
        <f>H21+H22</f>
        <v>7.50000886349641</v>
      </c>
      <c r="I23" s="34"/>
    </row>
    <row r="24" spans="1:8" ht="14.25">
      <c r="A24" s="33"/>
      <c r="B24" s="33"/>
      <c r="C24" s="33"/>
      <c r="D24" s="6"/>
      <c r="F24" s="6"/>
      <c r="G24" s="6"/>
      <c r="H24" s="6"/>
    </row>
  </sheetData>
  <sheetProtection sheet="1" objects="1" scenarios="1"/>
  <mergeCells count="1">
    <mergeCell ref="G7:H7"/>
  </mergeCells>
  <printOptions/>
  <pageMargins left="0.5" right="0.5861111111111111" top="0.7875" bottom="0.586111111111111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masao omine</cp:lastModifiedBy>
  <cp:lastPrinted>2000-08-02T06:52:12Z</cp:lastPrinted>
  <dcterms:created xsi:type="dcterms:W3CDTF">2000-04-26T05:47:48Z</dcterms:created>
  <dcterms:modified xsi:type="dcterms:W3CDTF">2006-11-27T08:48:09Z</dcterms:modified>
  <cp:category/>
  <cp:version/>
  <cp:contentType/>
  <cp:contentStatus/>
</cp:coreProperties>
</file>