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96" activeTab="0"/>
  </bookViews>
  <sheets>
    <sheet name="原材料" sheetId="1" r:id="rId1"/>
    <sheet name="配合計算" sheetId="2" r:id="rId2"/>
    <sheet name="配合表印刷" sheetId="3" r:id="rId3"/>
    <sheet name="成分と材質確認" sheetId="4" r:id="rId4"/>
  </sheets>
  <definedNames/>
  <calcPr fullCalcOnLoad="1"/>
</workbook>
</file>

<file path=xl/sharedStrings.xml><?xml version="1.0" encoding="utf-8"?>
<sst xmlns="http://schemas.openxmlformats.org/spreadsheetml/2006/main" count="299" uniqueCount="258">
  <si>
    <t>　　使用原材料の成分値と歩留まりの設定</t>
  </si>
  <si>
    <t>　ｸﾞﾘｰﾝ</t>
  </si>
  <si>
    <t>；インプット欄</t>
  </si>
  <si>
    <t>；計算結果</t>
  </si>
  <si>
    <t>　表１</t>
  </si>
  <si>
    <t>　　表２、仮計算「主原料の溶解後Ｃ％」</t>
  </si>
  <si>
    <t>　　　　　　使用原材料の化学成分　（％）</t>
  </si>
  <si>
    <t>溶解歩留り％</t>
  </si>
  <si>
    <t>　溶解後Ｃ％</t>
  </si>
  <si>
    <t>　溶解後Ｃ％計算は</t>
  </si>
  <si>
    <t>吸炭量％</t>
  </si>
  <si>
    <t>計算上の</t>
  </si>
  <si>
    <t>溶解後Ｃ%</t>
  </si>
  <si>
    <t>　吸炭に消費されるｺｰｸｽ</t>
  </si>
  <si>
    <t>　Ｃ</t>
  </si>
  <si>
    <t>　Ｓｉ</t>
  </si>
  <si>
    <t>　Ｍｎ</t>
  </si>
  <si>
    <t>　Ｐ</t>
  </si>
  <si>
    <t>　Ｓ</t>
  </si>
  <si>
    <t>　Ｃｕ</t>
  </si>
  <si>
    <t>上限値</t>
  </si>
  <si>
    <t>決定値</t>
  </si>
  <si>
    <t>　Ｐ－Ｔ列に示す。</t>
  </si>
  <si>
    <t>設定上限値</t>
  </si>
  <si>
    <t>最終決定値</t>
  </si>
  <si>
    <t>吸炭％</t>
  </si>
  <si>
    <t>配合比</t>
  </si>
  <si>
    <t>加重平均</t>
  </si>
  <si>
    <t>　Ｆ１-ＥＰ</t>
  </si>
  <si>
    <t>　キュポラ</t>
  </si>
  <si>
    <t>　鋼屑</t>
  </si>
  <si>
    <t>　　炉頂装入</t>
  </si>
  <si>
    <t>　戻り</t>
  </si>
  <si>
    <t>　　　材料</t>
  </si>
  <si>
    <t>　故銑</t>
  </si>
  <si>
    <t>　Fe-Si</t>
  </si>
  <si>
    <t>吸炭量加重平均</t>
  </si>
  <si>
    <t>合計</t>
  </si>
  <si>
    <t xml:space="preserve">  各原材料の溶解後Ｃ％については</t>
  </si>
  <si>
    <t>ｺｰｸｽ比換算</t>
  </si>
  <si>
    <t>　ｺｰｸｽ</t>
  </si>
  <si>
    <t>　自社の実績値から上限値を設定</t>
  </si>
  <si>
    <t>「計算式」</t>
  </si>
  <si>
    <t>　石灰石</t>
  </si>
  <si>
    <t>　することが出来ます。</t>
  </si>
  <si>
    <t>吸炭量％（銑鉄，戻り，故銑）　＝-1.984+0.00228X-0.3592Y+0.000435Z</t>
  </si>
  <si>
    <t>・・・・・・・・式１</t>
  </si>
  <si>
    <t>　溶解後Ｃ％は計算値と設定上限値を</t>
  </si>
  <si>
    <t>Ｘ；　出湯温度，　　Ｙ；　原材料のＣ％，　Ｚ；　送風温度</t>
  </si>
  <si>
    <t>　鍋内添加</t>
  </si>
  <si>
    <t>　比較し、いずれか小さい値を決定値と</t>
  </si>
  <si>
    <t>「式１は低Ｃ銑（Ｃ 3.20%/3.60%)の100％配合の操業結果から得られた吸炭式」</t>
  </si>
  <si>
    <t>　接種剤</t>
  </si>
  <si>
    <t>　して配合計算に用います。</t>
  </si>
  <si>
    <t>　　Ｃｕ</t>
  </si>
  <si>
    <t xml:space="preserve">  「上限値を指定しない場合は５以上の</t>
  </si>
  <si>
    <t>吸炭量％（鋼屑）＝0.005X-4.85</t>
  </si>
  <si>
    <t>・・・・・・・・・・・・・・・・・・・・・・・・・・・・・・・式２</t>
  </si>
  <si>
    <t>　　数値を入力します。」</t>
  </si>
  <si>
    <t>Ｘ；　出湯温度，　</t>
  </si>
  <si>
    <t>「式２は過去にキュポラ操業各社のデーターから算出した吸炭式」</t>
  </si>
  <si>
    <t>計算上の溶解後ｃ％＝各原材料のＣ％　＋　吸炭量％</t>
  </si>
  <si>
    <t>溶解後Ｃ％最終決定値＝計算上溶解後Ｃ％と設定上限値を比較し、小さい値を選択</t>
  </si>
  <si>
    <t>「配合計算」</t>
  </si>
  <si>
    <t xml:space="preserve"> ｸﾞﾘｰﾝ</t>
  </si>
  <si>
    <t>；ｲﾝﾌﾟｯﾄ欄</t>
  </si>
  <si>
    <t>「仮計算」</t>
  </si>
  <si>
    <t>仮計算</t>
  </si>
  <si>
    <t>表７，炭素比から出湯温度の算出</t>
  </si>
  <si>
    <t>　表３、配合率の指定</t>
  </si>
  <si>
    <t>表４、操業条件</t>
  </si>
  <si>
    <t>表５，溶湯化学成分値の設定と計算値</t>
  </si>
  <si>
    <t>表６，'「配合計算」</t>
  </si>
  <si>
    <t>過去実績</t>
  </si>
  <si>
    <t>今回目標</t>
  </si>
  <si>
    <t>　　　　計算式</t>
  </si>
  <si>
    <t>　配合率</t>
  </si>
  <si>
    <t>過去の</t>
  </si>
  <si>
    <t>今回の</t>
  </si>
  <si>
    <t>鉄源の</t>
  </si>
  <si>
    <t>出湯時</t>
  </si>
  <si>
    <t>製品の</t>
  </si>
  <si>
    <t>炭素比</t>
  </si>
  <si>
    <t>　ｺｰｸｽ比×ｺｰｸｽのＣ％÷100</t>
  </si>
  <si>
    <t>　「％」</t>
  </si>
  <si>
    <t>実績値</t>
  </si>
  <si>
    <t>目標値</t>
  </si>
  <si>
    <t>　成分値</t>
  </si>
  <si>
    <t>実績出湯温度A</t>
  </si>
  <si>
    <t xml:space="preserve">     -</t>
  </si>
  <si>
    <t>出湯温度  ℃</t>
  </si>
  <si>
    <t>計算出湯温度B</t>
  </si>
  <si>
    <t>　77.8×√炭素比　＋１１９０・・・式７</t>
  </si>
  <si>
    <t>送風温度　℃</t>
  </si>
  <si>
    <t>温度差異 A-B</t>
  </si>
  <si>
    <t>追込めｺｰｸｽ比　％</t>
  </si>
  <si>
    <t>今回出湯温度C</t>
  </si>
  <si>
    <t xml:space="preserve">      -</t>
  </si>
  <si>
    <t>　今回計算温度＋過去の温度差異</t>
  </si>
  <si>
    <t>溶解速度(T/ｈｒ）</t>
  </si>
  <si>
    <t>「送風温度による出湯温度の補正」</t>
  </si>
  <si>
    <t xml:space="preserve">  小　計</t>
  </si>
  <si>
    <t>送風温度</t>
  </si>
  <si>
    <t>今回の送風温度とｺｰｸｽ比を設定する</t>
  </si>
  <si>
    <t>計算出湯温度</t>
  </si>
  <si>
    <t>　1374.2+0.2668送風温度・・・・式８</t>
  </si>
  <si>
    <t>ことで、過去の実績値から出湯温度と</t>
  </si>
  <si>
    <t>ＣＥ値</t>
  </si>
  <si>
    <t>　温度差異Ｄ</t>
  </si>
  <si>
    <t>　　　ー</t>
  </si>
  <si>
    <t>　送風温度差による出湯温度の変化</t>
  </si>
  <si>
    <t>溶解速度を予測算出します。</t>
  </si>
  <si>
    <t>ＳＣ値</t>
  </si>
  <si>
    <t>最終出湯温度</t>
  </si>
  <si>
    <t>　今回出湯温度Ｃ＋温度差異Ｄ</t>
  </si>
  <si>
    <t>成熟度</t>
  </si>
  <si>
    <t>出湯時必要％</t>
  </si>
  <si>
    <t>溶湯の含熱量(Kcal/ton）</t>
  </si>
  <si>
    <t xml:space="preserve"> y=(27.25+0.197005*出湯温度）溶湯Kg</t>
  </si>
  <si>
    <t>ｷｭﾎﾟﾗ炉内径　（m）</t>
  </si>
  <si>
    <t>比較硬さ</t>
  </si>
  <si>
    <t>出湯時の過不足</t>
  </si>
  <si>
    <t>コークスの熱量(Kcal）</t>
  </si>
  <si>
    <t xml:space="preserve"> ｺｰｸｽの発熱量を8000Kcal/Kgとする</t>
  </si>
  <si>
    <t>１掛の装入量（　Kg）</t>
  </si>
  <si>
    <t>強度MPａ</t>
  </si>
  <si>
    <t>エネルギー効率（％）</t>
  </si>
  <si>
    <t>　鍋受湯量　（Ｋｇ/鍋）</t>
  </si>
  <si>
    <t>最適送風量　（　N㎡/min）</t>
  </si>
  <si>
    <t>硬度ＨＢ</t>
  </si>
  <si>
    <t>表８，炭素比と溶解速度及び送風量の関係</t>
  </si>
  <si>
    <t>各原材料のＣ％＝</t>
  </si>
  <si>
    <t>各原材料の溶解後Ｃ％決定値×配合比</t>
  </si>
  <si>
    <t>　「Pａｔｔｅｒｓｏｎの網目線図より」</t>
  </si>
  <si>
    <t xml:space="preserve">      「溶解速度の補正手順」</t>
  </si>
  <si>
    <t>各原材料の配合は表５，のＣ％、更に強度（ＭＰａ）を確認しながら、</t>
  </si>
  <si>
    <t>自社の実績から成熟度、比較硬さを</t>
  </si>
  <si>
    <t>　〃　Ｓｉ，Ｍｎ％＝</t>
  </si>
  <si>
    <t>各原材料のＳｉ，Ｍｎ％×配合比×溶解歩留まり</t>
  </si>
  <si>
    <t>溶解速度</t>
  </si>
  <si>
    <t>送風量</t>
  </si>
  <si>
    <t>過去の炭素比</t>
  </si>
  <si>
    <t>％に対応した</t>
  </si>
  <si>
    <t>指定します。</t>
  </si>
  <si>
    <t>設定することで、より正確な材質設計が</t>
  </si>
  <si>
    <t>　〃Ｐ，Ｓ，Ｃｕ％＝</t>
  </si>
  <si>
    <t>各原材料のＰ，Ｓ，Ｃｕ％×配合比</t>
  </si>
  <si>
    <t>炭素比の値を</t>
  </si>
  <si>
    <t xml:space="preserve">  %</t>
  </si>
  <si>
    <t>T/㎡，HR</t>
  </si>
  <si>
    <t>Nm3/min，㎡</t>
  </si>
  <si>
    <t>　溶解速度は</t>
  </si>
  <si>
    <t>；表８から検索</t>
  </si>
  <si>
    <t>尚、Ｃ％や強度は表４，の操業条件によっても変化しますので注意します。</t>
  </si>
  <si>
    <t>可能となります。</t>
  </si>
  <si>
    <t>　「ｺｰｸｽ中のＳ％の６０％が溶湯中に入るとします。」</t>
  </si>
  <si>
    <t>見て、それに</t>
  </si>
  <si>
    <t>　　炉内直径</t>
  </si>
  <si>
    <t>ｍより算出される</t>
  </si>
  <si>
    <t>不明な場合は成熟度100、比較硬さ1.0で</t>
  </si>
  <si>
    <t>石灰石の配合率；ｺｰｸｽ比の２０％とする。（印刷画面で直接計算）</t>
  </si>
  <si>
    <t>対応した溶解</t>
  </si>
  <si>
    <t>　炉断面積、</t>
  </si>
  <si>
    <t>㎡から、</t>
  </si>
  <si>
    <t>設定します。</t>
  </si>
  <si>
    <t>速度と送風量</t>
  </si>
  <si>
    <t xml:space="preserve"> ｔ/ｈｒとなる。</t>
  </si>
  <si>
    <t>を選択する。</t>
  </si>
  <si>
    <t>　過去実績値</t>
  </si>
  <si>
    <t xml:space="preserve"> ｔ/ｈｒに対し、</t>
  </si>
  <si>
    <t>「表５」</t>
  </si>
  <si>
    <t>必要な補正は</t>
  </si>
  <si>
    <t>ＣＥ値＝Ｃ％　＋　Ｓｉ％/3・・・・・・・・・・・・・・・・・・・・・・式３</t>
  </si>
  <si>
    <t>ＳＣ値＝Ｃ％　÷（4.23-Ｓｉ％/3.2)・・・・・・・・・・・・・・・式４</t>
  </si>
  <si>
    <t>強度（ＭＰａ）＝（102-82.5ＳＣ）×9.8×成熟度/100・・式５</t>
  </si>
  <si>
    <t>今回の炭素比</t>
  </si>
  <si>
    <t>硬度（ＨＢ）　＝（100＋4.3×ＭＰａ/9.8)×比較硬さ・・・式６</t>
  </si>
  <si>
    <t>「表７」</t>
  </si>
  <si>
    <t>　炉断面積，</t>
  </si>
  <si>
    <t>計算出湯温度Ｂ・・・Ｐａｔｔｅｒｓｏｎの網目線図より求めた炭素比と出湯温度との関係（キュポラ・・・３９ページ，図５３）</t>
  </si>
  <si>
    <t xml:space="preserve"> ｔ/ｈｒとなるが、上記補正値から</t>
  </si>
  <si>
    <t>のグラフから、下記関係式を作成使用。</t>
  </si>
  <si>
    <t>真溶解速度は</t>
  </si>
  <si>
    <t>計算出湯温度B＝</t>
  </si>
  <si>
    <t>ここで得られる温度は実績温度とは異なるため、この値と実績温度との差を求めて修正している。</t>
  </si>
  <si>
    <t>　　　「送風量の計算」表８からの検索</t>
  </si>
  <si>
    <t>送風温度による出湯温度の補正・・・・・Ｈ．ｊｕｎｇｂｌｕｔｈらが測定した出湯温度に及ぼす送風温度とｺｰｸｽ比</t>
  </si>
  <si>
    <t>　送風量は</t>
  </si>
  <si>
    <t>Nm3/min，㎡であり、</t>
  </si>
  <si>
    <t>　　　　　　　　　（キュポラ・・・９５ページ，図１４２）のグラフからｺｰｸｽ比１１％の例から</t>
  </si>
  <si>
    <t>　炉断面積,</t>
  </si>
  <si>
    <t>　　　　　　　　　　下記式を作成使用。</t>
  </si>
  <si>
    <t>真の送風量は</t>
  </si>
  <si>
    <t>Ｎm3/mｉｎとなる。</t>
  </si>
  <si>
    <t>計算出湯温度　＝</t>
  </si>
  <si>
    <t>「この値はあくまでも参考値である」</t>
  </si>
  <si>
    <t>過去実績と今回目標のそれぞれの送風温度によって算出した計算出湯の差を求め、その値を</t>
  </si>
  <si>
    <t>炭素比から求めた出湯温度に追加補正している。</t>
  </si>
  <si>
    <t>溶湯の含熱量・・・中江「鋳鉄溶解ハンドブック」　Ｐ３８６　図14･1鋳鉄の温度と含熱量の関係図から１２００℃以上の</t>
  </si>
  <si>
    <t>　　　　　直線部分を以下の回帰式を作成使用。</t>
  </si>
  <si>
    <t>　　溶湯の含熱量＝</t>
  </si>
  <si>
    <t>キュポラ配合計算表</t>
  </si>
  <si>
    <t>作成；</t>
  </si>
  <si>
    <t>配合率</t>
  </si>
  <si>
    <t>装入量</t>
  </si>
  <si>
    <t>使用原材料の化学成分　（％）</t>
  </si>
  <si>
    <t>溶解後</t>
  </si>
  <si>
    <t>溶解歩留り　％</t>
  </si>
  <si>
    <t>　（％）</t>
  </si>
  <si>
    <t>(Kg/掛）</t>
  </si>
  <si>
    <t>　Ｃ％</t>
  </si>
  <si>
    <t xml:space="preserve"> 小　計</t>
  </si>
  <si>
    <t>Kg/鍋</t>
  </si>
  <si>
    <t>出湯量</t>
  </si>
  <si>
    <t>　(Kg）</t>
  </si>
  <si>
    <t>成　　　　分　　（％）</t>
  </si>
  <si>
    <t>材質の</t>
  </si>
  <si>
    <t xml:space="preserve">   計算上の材質</t>
  </si>
  <si>
    <t>　設定</t>
  </si>
  <si>
    <t>　ＭＰａ</t>
  </si>
  <si>
    <t>　ＨＢ</t>
  </si>
  <si>
    <t xml:space="preserve"> 成分調整前（鉄源のみ）</t>
  </si>
  <si>
    <t>成熟度・・・</t>
  </si>
  <si>
    <t>　出湯時の成分値</t>
  </si>
  <si>
    <t>比較硬さ・・・・・</t>
  </si>
  <si>
    <t>　製品の成分値</t>
  </si>
  <si>
    <t>コークス比</t>
  </si>
  <si>
    <t>送風温</t>
  </si>
  <si>
    <t>出湯温</t>
  </si>
  <si>
    <t>　最適送風量</t>
  </si>
  <si>
    <t>「参考」</t>
  </si>
  <si>
    <t>ｺｰｸｽ熱量</t>
  </si>
  <si>
    <t>溶湯熱量</t>
  </si>
  <si>
    <t>ｴﾈﾙｷﾞｰ</t>
  </si>
  <si>
    <t>操業条件</t>
  </si>
  <si>
    <t>　　（％）</t>
  </si>
  <si>
    <t>度（℃）</t>
  </si>
  <si>
    <t>　Ｑ/Ａ</t>
  </si>
  <si>
    <t>Nm3/mi</t>
  </si>
  <si>
    <t>「Kcal」</t>
  </si>
  <si>
    <t>効率　%</t>
  </si>
  <si>
    <t>製品の成分値的中率と材質の確認</t>
  </si>
  <si>
    <t>製　品　の　成　分　値　（％）</t>
  </si>
  <si>
    <t xml:space="preserve">        材　　質</t>
  </si>
  <si>
    <t>　ＳＣ値</t>
  </si>
  <si>
    <t>配合計画値</t>
  </si>
  <si>
    <t>実績成分値</t>
  </si>
  <si>
    <t>的中率（％）</t>
  </si>
  <si>
    <t xml:space="preserve">  ここで確認した結果を次回の操業に活用することで、次回操業の精度向上となります。</t>
  </si>
  <si>
    <t>　</t>
  </si>
  <si>
    <t>Ｅｘｃｅｌ９７</t>
  </si>
  <si>
    <t>吸炭消費</t>
  </si>
  <si>
    <t>ｺｰｸｽ%</t>
  </si>
  <si>
    <t>福田博商店…加古川殿へ</t>
  </si>
  <si>
    <t>1998,５</t>
  </si>
  <si>
    <t>　Fe-Mn</t>
  </si>
  <si>
    <t>注意）、本ｼｽﾃﾑは保護されていません。従って自社のスタイルに変更が可能です。</t>
  </si>
  <si>
    <t>　炉頂装入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</si>
</sst>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mm&quot;月&quot;dd&quot;日&quot;"/>
  </numFmts>
  <fonts count="24">
    <font>
      <sz val="12"/>
      <name val="ＭＳ Ｐゴシック"/>
      <family val="3"/>
    </font>
    <font>
      <b/>
      <sz val="10"/>
      <name val="Arial"/>
      <family val="2"/>
    </font>
    <font>
      <i/>
      <sz val="10"/>
      <name val="Arial"/>
      <family val="2"/>
    </font>
    <font>
      <b/>
      <i/>
      <sz val="10"/>
      <name val="Arial"/>
      <family val="2"/>
    </font>
    <font>
      <sz val="6"/>
      <name val="ＭＳ Ｐゴシック"/>
      <family val="3"/>
    </font>
    <font>
      <b/>
      <sz val="12"/>
      <name val="ＭＳ Ｐゴシック"/>
      <family val="3"/>
    </font>
    <font>
      <b/>
      <sz val="14"/>
      <name val="ＭＳ Ｐゴシック"/>
      <family val="3"/>
    </font>
    <font>
      <b/>
      <sz val="12"/>
      <color indexed="20"/>
      <name val="ＭＳ Ｐゴシック"/>
      <family val="3"/>
    </font>
    <font>
      <sz val="12"/>
      <color indexed="20"/>
      <name val="ＭＳ Ｐゴシック"/>
      <family val="3"/>
    </font>
    <font>
      <b/>
      <sz val="12"/>
      <color indexed="10"/>
      <name val="ＭＳ Ｐゴシック"/>
      <family val="3"/>
    </font>
    <font>
      <sz val="12"/>
      <color indexed="10"/>
      <name val="ＭＳ Ｐゴシック"/>
      <family val="3"/>
    </font>
    <font>
      <b/>
      <sz val="12"/>
      <color indexed="12"/>
      <name val="ＭＳ Ｐゴシック"/>
      <family val="3"/>
    </font>
    <font>
      <sz val="12"/>
      <color indexed="12"/>
      <name val="ＭＳ Ｐゴシック"/>
      <family val="3"/>
    </font>
    <font>
      <b/>
      <sz val="18"/>
      <name val="ＭＳ Ｐゴシック"/>
      <family val="3"/>
    </font>
    <font>
      <sz val="18"/>
      <name val="ＭＳ Ｐゴシック"/>
      <family val="3"/>
    </font>
    <font>
      <b/>
      <sz val="12"/>
      <color indexed="9"/>
      <name val="ＭＳ Ｐゴシック"/>
      <family val="3"/>
    </font>
    <font>
      <b/>
      <u val="single"/>
      <sz val="18"/>
      <name val="ＭＳ Ｐゴシック"/>
      <family val="3"/>
    </font>
    <font>
      <b/>
      <u val="single"/>
      <sz val="12"/>
      <name val="ＭＳ Ｐゴシック"/>
      <family val="3"/>
    </font>
    <font>
      <sz val="10"/>
      <name val="ＭＳ Ｐゴシック"/>
      <family val="3"/>
    </font>
    <font>
      <b/>
      <sz val="14"/>
      <color indexed="12"/>
      <name val="ＭＳ Ｐゴシック"/>
      <family val="3"/>
    </font>
    <font>
      <b/>
      <i/>
      <sz val="12"/>
      <name val="ＭＳ Ｐゴシック"/>
      <family val="3"/>
    </font>
    <font>
      <b/>
      <sz val="11"/>
      <color indexed="10"/>
      <name val="ＭＳ Ｐゴシック"/>
      <family val="3"/>
    </font>
    <font>
      <sz val="11"/>
      <name val="ＭＳ Ｐゴシック"/>
      <family val="0"/>
    </font>
    <font>
      <b/>
      <sz val="11"/>
      <name val="ＭＳ Ｐゴシック"/>
      <family val="0"/>
    </font>
  </fonts>
  <fills count="10">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5">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ck">
        <color indexed="8"/>
      </left>
      <right>
        <color indexed="63"/>
      </right>
      <top>
        <color indexed="63"/>
      </top>
      <bottom>
        <color indexed="63"/>
      </bottom>
    </border>
    <border>
      <left style="thick">
        <color indexed="8"/>
      </left>
      <right>
        <color indexed="63"/>
      </right>
      <top style="thin">
        <color indexed="8"/>
      </top>
      <bottom>
        <color indexed="63"/>
      </bottom>
    </border>
    <border>
      <left style="thick">
        <color indexed="8"/>
      </left>
      <right>
        <color indexed="63"/>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color indexed="63"/>
      </right>
      <top style="thick">
        <color indexed="8"/>
      </top>
      <bottom>
        <color indexed="63"/>
      </bottom>
    </border>
    <border>
      <left style="thin">
        <color indexed="8"/>
      </left>
      <right>
        <color indexed="63"/>
      </right>
      <top style="thick">
        <color indexed="8"/>
      </top>
      <bottom>
        <color indexed="63"/>
      </bottom>
    </border>
    <border>
      <left style="thick">
        <color indexed="8"/>
      </left>
      <right>
        <color indexed="63"/>
      </right>
      <top style="thick">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06">
    <xf numFmtId="0" fontId="0" fillId="0" borderId="0" xfId="0" applyAlignment="1">
      <alignment/>
    </xf>
    <xf numFmtId="0" fontId="6" fillId="0" borderId="0" xfId="0" applyNumberFormat="1" applyFont="1" applyAlignment="1">
      <alignment/>
    </xf>
    <xf numFmtId="0" fontId="6" fillId="0" borderId="0" xfId="0" applyFont="1" applyAlignment="1">
      <alignment/>
    </xf>
    <xf numFmtId="0" fontId="5" fillId="2" borderId="1" xfId="0" applyNumberFormat="1" applyFont="1" applyFill="1" applyAlignment="1">
      <alignment/>
    </xf>
    <xf numFmtId="0" fontId="0" fillId="0" borderId="2" xfId="0" applyNumberFormat="1" applyFont="1" applyAlignment="1">
      <alignment/>
    </xf>
    <xf numFmtId="0" fontId="0" fillId="0" borderId="2" xfId="0" applyNumberFormat="1" applyAlignment="1">
      <alignment/>
    </xf>
    <xf numFmtId="0" fontId="0" fillId="0" borderId="3" xfId="0" applyAlignment="1">
      <alignment/>
    </xf>
    <xf numFmtId="0" fontId="5" fillId="0" borderId="0" xfId="0" applyNumberFormat="1" applyFont="1" applyAlignment="1">
      <alignment/>
    </xf>
    <xf numFmtId="0" fontId="5" fillId="0" borderId="0" xfId="0" applyFont="1" applyAlignment="1">
      <alignment/>
    </xf>
    <xf numFmtId="0" fontId="7" fillId="0" borderId="4" xfId="0" applyNumberFormat="1" applyFont="1" applyAlignment="1">
      <alignment/>
    </xf>
    <xf numFmtId="0" fontId="7" fillId="0" borderId="0" xfId="0" applyFont="1" applyAlignment="1">
      <alignment/>
    </xf>
    <xf numFmtId="0" fontId="0" fillId="0" borderId="2" xfId="0" applyAlignment="1">
      <alignment/>
    </xf>
    <xf numFmtId="0" fontId="0" fillId="3" borderId="5" xfId="0" applyNumberFormat="1" applyFont="1" applyFill="1" applyAlignment="1">
      <alignment/>
    </xf>
    <xf numFmtId="0" fontId="0" fillId="0" borderId="4" xfId="0" applyAlignment="1">
      <alignment/>
    </xf>
    <xf numFmtId="2" fontId="0" fillId="4" borderId="1" xfId="0" applyNumberFormat="1" applyFont="1" applyFill="1" applyAlignment="1">
      <alignment/>
    </xf>
    <xf numFmtId="0" fontId="0" fillId="3" borderId="6" xfId="0" applyNumberFormat="1" applyFont="1" applyFill="1" applyAlignment="1">
      <alignment/>
    </xf>
    <xf numFmtId="176" fontId="5" fillId="4" borderId="7" xfId="0" applyNumberFormat="1" applyFont="1" applyFill="1" applyAlignment="1">
      <alignment/>
    </xf>
    <xf numFmtId="0" fontId="0" fillId="5" borderId="6" xfId="0" applyFont="1" applyFill="1" applyAlignment="1">
      <alignment/>
    </xf>
    <xf numFmtId="0" fontId="0" fillId="5" borderId="8" xfId="0" applyFont="1" applyFill="1" applyAlignment="1">
      <alignment/>
    </xf>
    <xf numFmtId="0" fontId="9" fillId="5" borderId="4" xfId="0" applyNumberFormat="1" applyFont="1" applyFill="1" applyAlignment="1">
      <alignment/>
    </xf>
    <xf numFmtId="0" fontId="9" fillId="5" borderId="0" xfId="0" applyFont="1" applyFill="1" applyAlignment="1">
      <alignment/>
    </xf>
    <xf numFmtId="0" fontId="9" fillId="0" borderId="0" xfId="0" applyFont="1" applyAlignment="1">
      <alignment/>
    </xf>
    <xf numFmtId="0" fontId="10" fillId="5" borderId="0" xfId="0" applyNumberFormat="1" applyFont="1" applyFill="1" applyAlignment="1">
      <alignment/>
    </xf>
    <xf numFmtId="0" fontId="10" fillId="0" borderId="0" xfId="0" applyFont="1" applyAlignment="1">
      <alignment/>
    </xf>
    <xf numFmtId="0" fontId="10" fillId="0" borderId="0" xfId="0" applyNumberFormat="1" applyFont="1" applyAlignment="1">
      <alignment/>
    </xf>
    <xf numFmtId="0" fontId="0" fillId="5" borderId="4" xfId="0" applyNumberFormat="1" applyFont="1" applyFill="1" applyAlignment="1">
      <alignment/>
    </xf>
    <xf numFmtId="0" fontId="0" fillId="5" borderId="0" xfId="0" applyFont="1" applyFill="1" applyAlignment="1">
      <alignment/>
    </xf>
    <xf numFmtId="0" fontId="12" fillId="0" borderId="0" xfId="0" applyNumberFormat="1" applyFont="1" applyAlignment="1">
      <alignment/>
    </xf>
    <xf numFmtId="0" fontId="12" fillId="0" borderId="0" xfId="0" applyFont="1" applyAlignment="1">
      <alignment/>
    </xf>
    <xf numFmtId="0" fontId="0" fillId="0" borderId="9" xfId="0" applyAlignment="1">
      <alignment/>
    </xf>
    <xf numFmtId="0" fontId="0" fillId="0" borderId="0" xfId="0" applyNumberFormat="1" applyFont="1" applyAlignment="1">
      <alignment/>
    </xf>
    <xf numFmtId="0" fontId="0" fillId="0" borderId="4" xfId="0" applyNumberFormat="1" applyAlignment="1">
      <alignment/>
    </xf>
    <xf numFmtId="0" fontId="13" fillId="0" borderId="0" xfId="0" applyNumberFormat="1" applyFont="1" applyAlignment="1">
      <alignment/>
    </xf>
    <xf numFmtId="0" fontId="14" fillId="0" borderId="0" xfId="0" applyFont="1" applyAlignment="1">
      <alignment/>
    </xf>
    <xf numFmtId="0" fontId="8" fillId="0" borderId="0" xfId="0" applyFont="1" applyAlignment="1">
      <alignment/>
    </xf>
    <xf numFmtId="0" fontId="0" fillId="0" borderId="0" xfId="0" applyFont="1" applyAlignment="1">
      <alignment/>
    </xf>
    <xf numFmtId="2" fontId="15" fillId="6" borderId="10" xfId="0" applyNumberFormat="1" applyFont="1" applyFill="1" applyAlignment="1">
      <alignment/>
    </xf>
    <xf numFmtId="0" fontId="5" fillId="0" borderId="9" xfId="0" applyNumberFormat="1" applyFont="1" applyAlignment="1">
      <alignment/>
    </xf>
    <xf numFmtId="0" fontId="5" fillId="0" borderId="9" xfId="0" applyFont="1" applyAlignment="1">
      <alignment/>
    </xf>
    <xf numFmtId="0" fontId="0" fillId="0" borderId="9" xfId="0" applyNumberFormat="1" applyAlignment="1">
      <alignment/>
    </xf>
    <xf numFmtId="0" fontId="8" fillId="0" borderId="0" xfId="0" applyNumberFormat="1" applyFont="1" applyAlignment="1">
      <alignment/>
    </xf>
    <xf numFmtId="1" fontId="15" fillId="6" borderId="7" xfId="0" applyNumberFormat="1" applyFont="1" applyFill="1" applyAlignment="1">
      <alignment/>
    </xf>
    <xf numFmtId="2" fontId="0" fillId="0" borderId="0" xfId="0" applyNumberFormat="1" applyAlignment="1">
      <alignment/>
    </xf>
    <xf numFmtId="0" fontId="0" fillId="5" borderId="2" xfId="0" applyNumberFormat="1" applyFont="1" applyFill="1" applyAlignment="1">
      <alignment/>
    </xf>
    <xf numFmtId="2" fontId="0" fillId="3" borderId="1" xfId="0" applyNumberFormat="1" applyFont="1" applyFill="1" applyAlignment="1">
      <alignment/>
    </xf>
    <xf numFmtId="0" fontId="0" fillId="5" borderId="0" xfId="0" applyNumberFormat="1" applyFont="1" applyFill="1" applyAlignment="1">
      <alignment/>
    </xf>
    <xf numFmtId="178" fontId="0" fillId="0" borderId="0" xfId="0" applyNumberFormat="1" applyAlignment="1">
      <alignment/>
    </xf>
    <xf numFmtId="0" fontId="16" fillId="0" borderId="0" xfId="0" applyNumberFormat="1" applyFont="1" applyAlignment="1">
      <alignment/>
    </xf>
    <xf numFmtId="0" fontId="16" fillId="0" borderId="0" xfId="0" applyFont="1" applyAlignment="1">
      <alignment/>
    </xf>
    <xf numFmtId="0" fontId="17" fillId="0" borderId="0" xfId="0" applyFont="1" applyAlignment="1">
      <alignment/>
    </xf>
    <xf numFmtId="0" fontId="0" fillId="0" borderId="11" xfId="0" applyAlignment="1">
      <alignment/>
    </xf>
    <xf numFmtId="0" fontId="0" fillId="0" borderId="11" xfId="0" applyNumberFormat="1" applyAlignment="1">
      <alignment/>
    </xf>
    <xf numFmtId="0" fontId="0" fillId="0" borderId="10" xfId="0" applyNumberFormat="1" applyAlignment="1">
      <alignment/>
    </xf>
    <xf numFmtId="0" fontId="0" fillId="0" borderId="10" xfId="0" applyNumberFormat="1" applyFont="1" applyAlignment="1">
      <alignment/>
    </xf>
    <xf numFmtId="0" fontId="0" fillId="0" borderId="5" xfId="0" applyNumberFormat="1" applyAlignment="1">
      <alignment/>
    </xf>
    <xf numFmtId="0" fontId="0" fillId="0" borderId="1" xfId="0" applyNumberFormat="1" applyAlignment="1">
      <alignment/>
    </xf>
    <xf numFmtId="176" fontId="0" fillId="0" borderId="11" xfId="0" applyNumberFormat="1" applyAlignment="1">
      <alignment/>
    </xf>
    <xf numFmtId="1" fontId="0" fillId="0" borderId="10" xfId="0" applyNumberFormat="1" applyAlignment="1">
      <alignment/>
    </xf>
    <xf numFmtId="2" fontId="0" fillId="0" borderId="11" xfId="0" applyNumberFormat="1" applyAlignment="1">
      <alignment/>
    </xf>
    <xf numFmtId="2" fontId="0" fillId="0" borderId="10" xfId="0" applyNumberFormat="1" applyAlignment="1">
      <alignment/>
    </xf>
    <xf numFmtId="177" fontId="0" fillId="0" borderId="10" xfId="0" applyNumberFormat="1" applyAlignment="1">
      <alignment/>
    </xf>
    <xf numFmtId="176" fontId="0" fillId="0" borderId="10" xfId="0" applyNumberFormat="1" applyAlignment="1">
      <alignment/>
    </xf>
    <xf numFmtId="176" fontId="0" fillId="0" borderId="5" xfId="0" applyNumberFormat="1" applyAlignment="1">
      <alignment/>
    </xf>
    <xf numFmtId="1" fontId="0" fillId="0" borderId="1" xfId="0" applyNumberFormat="1" applyAlignment="1">
      <alignment/>
    </xf>
    <xf numFmtId="2" fontId="0" fillId="0" borderId="5" xfId="0" applyNumberFormat="1" applyAlignment="1">
      <alignment/>
    </xf>
    <xf numFmtId="2" fontId="0" fillId="0" borderId="1" xfId="0" applyNumberFormat="1" applyAlignment="1">
      <alignment/>
    </xf>
    <xf numFmtId="177" fontId="0" fillId="0" borderId="1" xfId="0" applyNumberFormat="1" applyAlignment="1">
      <alignment/>
    </xf>
    <xf numFmtId="176" fontId="0" fillId="0" borderId="1" xfId="0" applyNumberFormat="1" applyAlignment="1">
      <alignment/>
    </xf>
    <xf numFmtId="0" fontId="0" fillId="0" borderId="7" xfId="0" applyNumberFormat="1" applyAlignment="1">
      <alignment/>
    </xf>
    <xf numFmtId="0" fontId="0" fillId="0" borderId="6" xfId="0" applyNumberFormat="1" applyAlignment="1">
      <alignment/>
    </xf>
    <xf numFmtId="1" fontId="0" fillId="0" borderId="7" xfId="0" applyNumberFormat="1" applyAlignment="1">
      <alignment/>
    </xf>
    <xf numFmtId="0" fontId="0" fillId="0" borderId="5" xfId="0" applyAlignment="1">
      <alignment/>
    </xf>
    <xf numFmtId="0" fontId="0" fillId="0" borderId="1" xfId="0" applyAlignment="1">
      <alignment/>
    </xf>
    <xf numFmtId="2" fontId="0" fillId="0" borderId="6" xfId="0" applyNumberFormat="1" applyAlignment="1">
      <alignment/>
    </xf>
    <xf numFmtId="176" fontId="0" fillId="0" borderId="7" xfId="0" applyNumberFormat="1" applyAlignment="1">
      <alignment/>
    </xf>
    <xf numFmtId="176" fontId="0" fillId="0" borderId="6" xfId="0" applyNumberFormat="1" applyAlignment="1">
      <alignment/>
    </xf>
    <xf numFmtId="0" fontId="0" fillId="0" borderId="7" xfId="0" applyAlignment="1">
      <alignment/>
    </xf>
    <xf numFmtId="0" fontId="0" fillId="0" borderId="6" xfId="0" applyAlignment="1">
      <alignment/>
    </xf>
    <xf numFmtId="2" fontId="0" fillId="0" borderId="7" xfId="0" applyNumberFormat="1" applyAlignment="1">
      <alignment/>
    </xf>
    <xf numFmtId="0" fontId="0" fillId="0" borderId="6" xfId="0" applyNumberFormat="1" applyFont="1" applyAlignment="1">
      <alignment/>
    </xf>
    <xf numFmtId="176" fontId="0" fillId="0" borderId="6" xfId="0" applyNumberFormat="1" applyFont="1" applyAlignment="1">
      <alignment/>
    </xf>
    <xf numFmtId="0" fontId="0" fillId="0" borderId="5" xfId="0" applyNumberFormat="1" applyFont="1" applyAlignment="1">
      <alignment/>
    </xf>
    <xf numFmtId="176" fontId="0" fillId="0" borderId="4" xfId="0" applyNumberFormat="1" applyAlignment="1">
      <alignment/>
    </xf>
    <xf numFmtId="0" fontId="0" fillId="0" borderId="9" xfId="0" applyNumberFormat="1" applyFont="1" applyAlignment="1">
      <alignment/>
    </xf>
    <xf numFmtId="2" fontId="0" fillId="0" borderId="11" xfId="0" applyNumberFormat="1" applyFont="1" applyAlignment="1">
      <alignment/>
    </xf>
    <xf numFmtId="0" fontId="0" fillId="0" borderId="11" xfId="0" applyNumberFormat="1" applyFont="1" applyAlignment="1">
      <alignment/>
    </xf>
    <xf numFmtId="0" fontId="0" fillId="0" borderId="10" xfId="0" applyAlignment="1">
      <alignment/>
    </xf>
    <xf numFmtId="0" fontId="0" fillId="0" borderId="4" xfId="0" applyNumberFormat="1" applyFont="1" applyAlignment="1">
      <alignment/>
    </xf>
    <xf numFmtId="2" fontId="0" fillId="0" borderId="2" xfId="0" applyNumberFormat="1" applyAlignment="1">
      <alignment/>
    </xf>
    <xf numFmtId="0" fontId="0" fillId="0" borderId="1" xfId="0" applyNumberFormat="1" applyFont="1" applyAlignment="1">
      <alignment/>
    </xf>
    <xf numFmtId="0" fontId="18" fillId="0" borderId="2" xfId="0" applyNumberFormat="1" applyFont="1" applyAlignment="1">
      <alignment/>
    </xf>
    <xf numFmtId="0" fontId="13" fillId="0" borderId="0" xfId="0" applyFont="1" applyAlignment="1">
      <alignment/>
    </xf>
    <xf numFmtId="177" fontId="5" fillId="4" borderId="1" xfId="0" applyNumberFormat="1" applyFont="1" applyFill="1" applyAlignment="1">
      <alignment/>
    </xf>
    <xf numFmtId="1" fontId="0" fillId="4" borderId="1" xfId="0" applyNumberFormat="1" applyFont="1" applyFill="1" applyAlignment="1">
      <alignment/>
    </xf>
    <xf numFmtId="0" fontId="19" fillId="0" borderId="0" xfId="0" applyNumberFormat="1" applyFont="1" applyAlignment="1">
      <alignment/>
    </xf>
    <xf numFmtId="0" fontId="19" fillId="0" borderId="0" xfId="0" applyFont="1" applyAlignment="1">
      <alignment/>
    </xf>
    <xf numFmtId="0" fontId="0" fillId="7" borderId="11" xfId="0" applyFont="1" applyFill="1" applyAlignment="1">
      <alignment/>
    </xf>
    <xf numFmtId="0" fontId="0" fillId="7" borderId="11" xfId="0" applyNumberFormat="1" applyFont="1" applyFill="1" applyAlignment="1">
      <alignment/>
    </xf>
    <xf numFmtId="0" fontId="0" fillId="7" borderId="9" xfId="0" applyFont="1" applyFill="1" applyAlignment="1">
      <alignment/>
    </xf>
    <xf numFmtId="0" fontId="0" fillId="7" borderId="10" xfId="0" applyFont="1" applyFill="1" applyAlignment="1">
      <alignment/>
    </xf>
    <xf numFmtId="0" fontId="0" fillId="7" borderId="4" xfId="0" applyFont="1" applyFill="1" applyAlignment="1">
      <alignment/>
    </xf>
    <xf numFmtId="0" fontId="0" fillId="7" borderId="5" xfId="0" applyNumberFormat="1" applyFont="1" applyFill="1" applyAlignment="1">
      <alignment/>
    </xf>
    <xf numFmtId="0" fontId="0" fillId="7" borderId="1" xfId="0" applyNumberFormat="1" applyFont="1" applyFill="1" applyAlignment="1">
      <alignment/>
    </xf>
    <xf numFmtId="0" fontId="0" fillId="7" borderId="4" xfId="0" applyNumberFormat="1" applyFont="1" applyFill="1" applyAlignment="1">
      <alignment/>
    </xf>
    <xf numFmtId="0" fontId="0" fillId="7" borderId="6" xfId="0" applyNumberFormat="1" applyFont="1" applyFill="1" applyAlignment="1">
      <alignment/>
    </xf>
    <xf numFmtId="0" fontId="0" fillId="7" borderId="5" xfId="0" applyFont="1" applyFill="1" applyAlignment="1">
      <alignment/>
    </xf>
    <xf numFmtId="176" fontId="0" fillId="8" borderId="5" xfId="0" applyNumberFormat="1" applyFont="1" applyFill="1" applyAlignment="1">
      <alignment/>
    </xf>
    <xf numFmtId="176" fontId="0" fillId="8" borderId="1" xfId="0" applyNumberFormat="1" applyFont="1" applyFill="1" applyAlignment="1">
      <alignment/>
    </xf>
    <xf numFmtId="2" fontId="0" fillId="8" borderId="10" xfId="0" applyNumberFormat="1" applyFont="1" applyFill="1" applyAlignment="1">
      <alignment/>
    </xf>
    <xf numFmtId="2" fontId="0" fillId="8" borderId="1" xfId="0" applyNumberFormat="1" applyFont="1" applyFill="1" applyAlignment="1">
      <alignment/>
    </xf>
    <xf numFmtId="0" fontId="0" fillId="8" borderId="1" xfId="0" applyNumberFormat="1" applyFont="1" applyFill="1" applyAlignment="1">
      <alignment/>
    </xf>
    <xf numFmtId="2" fontId="5" fillId="8" borderId="6" xfId="0" applyNumberFormat="1" applyFont="1" applyFill="1" applyAlignment="1">
      <alignment/>
    </xf>
    <xf numFmtId="2" fontId="5" fillId="8" borderId="5" xfId="0" applyNumberFormat="1" applyFont="1" applyFill="1" applyAlignment="1">
      <alignment/>
    </xf>
    <xf numFmtId="2" fontId="5" fillId="8" borderId="7" xfId="0" applyNumberFormat="1" applyFont="1" applyFill="1" applyAlignment="1">
      <alignment/>
    </xf>
    <xf numFmtId="0" fontId="5" fillId="8" borderId="7" xfId="0" applyFont="1" applyFill="1" applyAlignment="1">
      <alignment/>
    </xf>
    <xf numFmtId="0" fontId="5" fillId="8" borderId="7" xfId="0" applyNumberFormat="1" applyFont="1" applyFill="1" applyAlignment="1">
      <alignment/>
    </xf>
    <xf numFmtId="2" fontId="5" fillId="8" borderId="1" xfId="0" applyNumberFormat="1" applyFont="1" applyFill="1" applyAlignment="1">
      <alignment/>
    </xf>
    <xf numFmtId="2" fontId="5" fillId="8" borderId="11" xfId="0" applyNumberFormat="1" applyFont="1" applyFill="1" applyAlignment="1">
      <alignment/>
    </xf>
    <xf numFmtId="0" fontId="5" fillId="8" borderId="1" xfId="0" applyFont="1" applyFill="1" applyAlignment="1">
      <alignment/>
    </xf>
    <xf numFmtId="2" fontId="5" fillId="8" borderId="10" xfId="0" applyNumberFormat="1" applyFont="1" applyFill="1" applyAlignment="1">
      <alignment/>
    </xf>
    <xf numFmtId="0" fontId="5" fillId="8" borderId="10" xfId="0" applyFont="1" applyFill="1" applyAlignment="1">
      <alignment/>
    </xf>
    <xf numFmtId="176" fontId="5" fillId="8" borderId="5" xfId="0" applyNumberFormat="1" applyFont="1" applyFill="1" applyAlignment="1">
      <alignment/>
    </xf>
    <xf numFmtId="176" fontId="5" fillId="8" borderId="1" xfId="0" applyNumberFormat="1" applyFont="1" applyFill="1" applyAlignment="1">
      <alignment/>
    </xf>
    <xf numFmtId="176" fontId="5" fillId="8" borderId="10" xfId="0" applyNumberFormat="1" applyFont="1" applyFill="1" applyAlignment="1">
      <alignment/>
    </xf>
    <xf numFmtId="0" fontId="0" fillId="7" borderId="1" xfId="0" applyFont="1" applyFill="1" applyAlignment="1">
      <alignment/>
    </xf>
    <xf numFmtId="0" fontId="0" fillId="7" borderId="3" xfId="0" applyFont="1" applyFill="1" applyAlignment="1">
      <alignment/>
    </xf>
    <xf numFmtId="0" fontId="0" fillId="7" borderId="2" xfId="0" applyFont="1" applyFill="1" applyAlignment="1">
      <alignment/>
    </xf>
    <xf numFmtId="0" fontId="0" fillId="7" borderId="2" xfId="0" applyNumberFormat="1" applyFont="1" applyFill="1" applyAlignment="1">
      <alignment/>
    </xf>
    <xf numFmtId="0" fontId="0" fillId="8" borderId="3" xfId="0" applyNumberFormat="1" applyFont="1" applyFill="1" applyAlignment="1">
      <alignment/>
    </xf>
    <xf numFmtId="0" fontId="0" fillId="8" borderId="3" xfId="0" applyFont="1" applyFill="1" applyAlignment="1">
      <alignment/>
    </xf>
    <xf numFmtId="0" fontId="0" fillId="7" borderId="9" xfId="0" applyNumberFormat="1" applyFont="1" applyFill="1" applyAlignment="1">
      <alignment/>
    </xf>
    <xf numFmtId="0" fontId="0" fillId="7" borderId="3" xfId="0" applyNumberFormat="1" applyFont="1" applyFill="1" applyAlignment="1">
      <alignment/>
    </xf>
    <xf numFmtId="0" fontId="0" fillId="7" borderId="10" xfId="0" applyNumberFormat="1" applyFont="1" applyFill="1" applyAlignment="1">
      <alignment/>
    </xf>
    <xf numFmtId="2" fontId="0" fillId="8" borderId="11" xfId="0" applyNumberFormat="1" applyFont="1" applyFill="1" applyAlignment="1">
      <alignment/>
    </xf>
    <xf numFmtId="2" fontId="0" fillId="8" borderId="6" xfId="0" applyNumberFormat="1" applyFont="1" applyFill="1" applyAlignment="1">
      <alignment/>
    </xf>
    <xf numFmtId="2" fontId="0" fillId="8" borderId="5" xfId="0" applyNumberFormat="1" applyFont="1" applyFill="1" applyAlignment="1">
      <alignment/>
    </xf>
    <xf numFmtId="177" fontId="0" fillId="8" borderId="5" xfId="0" applyNumberFormat="1" applyFont="1" applyFill="1" applyAlignment="1">
      <alignment/>
    </xf>
    <xf numFmtId="1" fontId="0" fillId="8" borderId="11" xfId="0" applyNumberFormat="1" applyFont="1" applyFill="1" applyAlignment="1">
      <alignment/>
    </xf>
    <xf numFmtId="176" fontId="0" fillId="8" borderId="11" xfId="0" applyNumberFormat="1" applyFont="1" applyFill="1" applyAlignment="1">
      <alignment/>
    </xf>
    <xf numFmtId="177" fontId="0" fillId="8" borderId="1" xfId="0" applyNumberFormat="1" applyFont="1" applyFill="1" applyAlignment="1">
      <alignment/>
    </xf>
    <xf numFmtId="177" fontId="0" fillId="8" borderId="6" xfId="0" applyNumberFormat="1" applyFont="1" applyFill="1" applyAlignment="1">
      <alignment/>
    </xf>
    <xf numFmtId="177" fontId="0" fillId="8" borderId="7" xfId="0" applyNumberFormat="1" applyFont="1" applyFill="1" applyAlignment="1">
      <alignment/>
    </xf>
    <xf numFmtId="0" fontId="0" fillId="8" borderId="6" xfId="0" applyFont="1" applyFill="1" applyAlignment="1">
      <alignment/>
    </xf>
    <xf numFmtId="0" fontId="0" fillId="8" borderId="7" xfId="0" applyFont="1" applyFill="1" applyAlignment="1">
      <alignment/>
    </xf>
    <xf numFmtId="0" fontId="0" fillId="8" borderId="5" xfId="0" applyFont="1" applyFill="1" applyAlignment="1">
      <alignment/>
    </xf>
    <xf numFmtId="0" fontId="0" fillId="8" borderId="1" xfId="0" applyFont="1" applyFill="1" applyAlignment="1">
      <alignment/>
    </xf>
    <xf numFmtId="1" fontId="5" fillId="8" borderId="1" xfId="0" applyNumberFormat="1" applyFont="1" applyFill="1" applyAlignment="1">
      <alignment/>
    </xf>
    <xf numFmtId="0" fontId="0" fillId="7" borderId="7" xfId="0" applyNumberFormat="1" applyFont="1" applyFill="1" applyAlignment="1">
      <alignment/>
    </xf>
    <xf numFmtId="0" fontId="0" fillId="7" borderId="7" xfId="0" applyFont="1" applyFill="1" applyAlignment="1">
      <alignment/>
    </xf>
    <xf numFmtId="2" fontId="0" fillId="9" borderId="1" xfId="0" applyNumberFormat="1" applyFont="1" applyFill="1" applyAlignment="1">
      <alignment/>
    </xf>
    <xf numFmtId="0" fontId="0" fillId="9" borderId="1" xfId="0" applyNumberFormat="1" applyFont="1" applyFill="1" applyAlignment="1">
      <alignment/>
    </xf>
    <xf numFmtId="2" fontId="0" fillId="8" borderId="7" xfId="0" applyNumberFormat="1" applyFont="1" applyFill="1" applyAlignment="1">
      <alignment/>
    </xf>
    <xf numFmtId="176" fontId="0" fillId="8" borderId="10" xfId="0" applyNumberFormat="1" applyFont="1" applyFill="1" applyAlignment="1">
      <alignment/>
    </xf>
    <xf numFmtId="0" fontId="0" fillId="8" borderId="11" xfId="0" applyNumberFormat="1" applyFont="1" applyFill="1" applyAlignment="1">
      <alignment/>
    </xf>
    <xf numFmtId="0" fontId="0" fillId="8" borderId="9" xfId="0" applyFont="1" applyFill="1" applyAlignment="1">
      <alignment/>
    </xf>
    <xf numFmtId="0" fontId="10" fillId="8" borderId="5" xfId="0" applyNumberFormat="1" applyFont="1" applyFill="1" applyAlignment="1">
      <alignment/>
    </xf>
    <xf numFmtId="0" fontId="10" fillId="8" borderId="3" xfId="0" applyNumberFormat="1" applyFont="1" applyFill="1" applyAlignment="1">
      <alignment/>
    </xf>
    <xf numFmtId="0" fontId="10" fillId="8" borderId="3" xfId="0" applyFont="1" applyFill="1" applyAlignment="1">
      <alignment/>
    </xf>
    <xf numFmtId="0" fontId="0" fillId="8" borderId="5" xfId="0" applyNumberFormat="1" applyFont="1" applyFill="1" applyAlignment="1">
      <alignment/>
    </xf>
    <xf numFmtId="0" fontId="0" fillId="8" borderId="11" xfId="0" applyFont="1" applyFill="1" applyAlignment="1">
      <alignment/>
    </xf>
    <xf numFmtId="0" fontId="10" fillId="8" borderId="11" xfId="0" applyNumberFormat="1" applyFont="1" applyFill="1" applyAlignment="1">
      <alignment/>
    </xf>
    <xf numFmtId="0" fontId="10" fillId="8" borderId="9" xfId="0" applyFont="1" applyFill="1" applyAlignment="1">
      <alignment/>
    </xf>
    <xf numFmtId="0" fontId="0" fillId="9" borderId="10" xfId="0" applyNumberFormat="1" applyFont="1" applyFill="1" applyAlignment="1">
      <alignment/>
    </xf>
    <xf numFmtId="176" fontId="0" fillId="9" borderId="1" xfId="0" applyNumberFormat="1" applyFont="1" applyFill="1" applyAlignment="1">
      <alignment/>
    </xf>
    <xf numFmtId="4" fontId="0" fillId="8" borderId="1" xfId="0" applyNumberFormat="1" applyFont="1" applyFill="1" applyAlignment="1">
      <alignment/>
    </xf>
    <xf numFmtId="0" fontId="0" fillId="8" borderId="1" xfId="0" applyNumberFormat="1" applyFill="1" applyAlignment="1">
      <alignment/>
    </xf>
    <xf numFmtId="0" fontId="20" fillId="0" borderId="0" xfId="0" applyNumberFormat="1" applyFont="1" applyAlignment="1">
      <alignment/>
    </xf>
    <xf numFmtId="0" fontId="18" fillId="0" borderId="10" xfId="0" applyNumberFormat="1" applyFont="1" applyAlignment="1">
      <alignment/>
    </xf>
    <xf numFmtId="177" fontId="0" fillId="8" borderId="10" xfId="0" applyNumberFormat="1" applyFont="1" applyFill="1" applyAlignment="1">
      <alignment/>
    </xf>
    <xf numFmtId="1" fontId="0" fillId="8" borderId="10" xfId="0" applyNumberFormat="1" applyFont="1" applyFill="1" applyAlignment="1">
      <alignment/>
    </xf>
    <xf numFmtId="0" fontId="21" fillId="0" borderId="0" xfId="0" applyNumberFormat="1" applyFont="1" applyAlignment="1">
      <alignment/>
    </xf>
    <xf numFmtId="0" fontId="21" fillId="0" borderId="0" xfId="0" applyFont="1" applyAlignment="1">
      <alignment/>
    </xf>
    <xf numFmtId="0" fontId="22" fillId="0" borderId="0" xfId="0" applyFont="1" applyAlignment="1">
      <alignment/>
    </xf>
    <xf numFmtId="0" fontId="0" fillId="5" borderId="4" xfId="0" applyFill="1" applyAlignment="1">
      <alignment/>
    </xf>
    <xf numFmtId="0" fontId="23" fillId="0" borderId="0" xfId="0" applyFont="1" applyAlignment="1">
      <alignment/>
    </xf>
    <xf numFmtId="0" fontId="11" fillId="0" borderId="0" xfId="0" applyNumberFormat="1" applyFont="1" applyAlignment="1">
      <alignment/>
    </xf>
    <xf numFmtId="0" fontId="11" fillId="0" borderId="0" xfId="0" applyFont="1" applyAlignment="1">
      <alignment/>
    </xf>
    <xf numFmtId="0" fontId="0" fillId="7" borderId="5" xfId="0" applyNumberFormat="1" applyFill="1" applyAlignment="1">
      <alignment/>
    </xf>
    <xf numFmtId="0" fontId="18" fillId="0" borderId="1" xfId="0" applyNumberFormat="1" applyFont="1" applyAlignment="1">
      <alignment/>
    </xf>
    <xf numFmtId="0" fontId="0" fillId="7" borderId="4" xfId="0" applyNumberFormat="1" applyFill="1" applyAlignment="1">
      <alignment/>
    </xf>
    <xf numFmtId="0" fontId="0" fillId="0" borderId="0" xfId="0" applyBorder="1" applyAlignment="1">
      <alignment/>
    </xf>
    <xf numFmtId="0" fontId="10" fillId="4" borderId="12" xfId="0" applyNumberFormat="1" applyFont="1" applyFill="1" applyBorder="1" applyAlignment="1">
      <alignment/>
    </xf>
    <xf numFmtId="0" fontId="10" fillId="4" borderId="13" xfId="0" applyFont="1" applyFill="1" applyBorder="1" applyAlignment="1">
      <alignment/>
    </xf>
    <xf numFmtId="0" fontId="10" fillId="4" borderId="14" xfId="0" applyFont="1" applyFill="1" applyBorder="1" applyAlignment="1">
      <alignment/>
    </xf>
    <xf numFmtId="0" fontId="10" fillId="4" borderId="13" xfId="0" applyNumberFormat="1" applyFont="1" applyFill="1" applyBorder="1" applyAlignment="1">
      <alignment/>
    </xf>
    <xf numFmtId="0" fontId="0" fillId="4" borderId="14" xfId="0" applyFont="1" applyFill="1" applyBorder="1" applyAlignment="1">
      <alignment/>
    </xf>
    <xf numFmtId="2" fontId="0" fillId="2" borderId="11" xfId="0" applyNumberFormat="1" applyFont="1" applyFill="1" applyAlignment="1" applyProtection="1">
      <alignment/>
      <protection locked="0"/>
    </xf>
    <xf numFmtId="2" fontId="0" fillId="2" borderId="10" xfId="0" applyNumberFormat="1" applyFont="1" applyFill="1" applyAlignment="1" applyProtection="1">
      <alignment/>
      <protection locked="0"/>
    </xf>
    <xf numFmtId="177" fontId="0" fillId="2" borderId="10" xfId="0" applyNumberFormat="1" applyFont="1" applyFill="1" applyAlignment="1" applyProtection="1">
      <alignment/>
      <protection locked="0"/>
    </xf>
    <xf numFmtId="2" fontId="5" fillId="2" borderId="11" xfId="0" applyNumberFormat="1" applyFont="1" applyFill="1" applyAlignment="1" applyProtection="1">
      <alignment/>
      <protection locked="0"/>
    </xf>
    <xf numFmtId="2" fontId="5" fillId="2" borderId="10" xfId="0" applyNumberFormat="1" applyFont="1" applyFill="1" applyAlignment="1" applyProtection="1">
      <alignment/>
      <protection locked="0"/>
    </xf>
    <xf numFmtId="177" fontId="5" fillId="2" borderId="10" xfId="0" applyNumberFormat="1" applyFont="1" applyFill="1" applyAlignment="1" applyProtection="1">
      <alignment/>
      <protection locked="0"/>
    </xf>
    <xf numFmtId="2" fontId="5" fillId="2" borderId="5" xfId="0" applyNumberFormat="1" applyFont="1" applyFill="1" applyAlignment="1" applyProtection="1">
      <alignment/>
      <protection locked="0"/>
    </xf>
    <xf numFmtId="2" fontId="5" fillId="2" borderId="1" xfId="0" applyNumberFormat="1" applyFont="1" applyFill="1" applyAlignment="1" applyProtection="1">
      <alignment/>
      <protection locked="0"/>
    </xf>
    <xf numFmtId="177" fontId="5" fillId="2" borderId="1" xfId="0" applyNumberFormat="1" applyFont="1" applyFill="1" applyAlignment="1" applyProtection="1">
      <alignment/>
      <protection locked="0"/>
    </xf>
    <xf numFmtId="176" fontId="5" fillId="2" borderId="11" xfId="0" applyNumberFormat="1" applyFont="1" applyFill="1" applyAlignment="1" applyProtection="1">
      <alignment/>
      <protection locked="0"/>
    </xf>
    <xf numFmtId="176" fontId="5" fillId="2" borderId="10" xfId="0" applyNumberFormat="1" applyFont="1" applyFill="1" applyAlignment="1" applyProtection="1">
      <alignment/>
      <protection locked="0"/>
    </xf>
    <xf numFmtId="176" fontId="5" fillId="2" borderId="1" xfId="0" applyNumberFormat="1" applyFont="1" applyFill="1" applyAlignment="1" applyProtection="1">
      <alignment/>
      <protection locked="0"/>
    </xf>
    <xf numFmtId="176" fontId="5" fillId="2" borderId="6" xfId="0" applyNumberFormat="1" applyFont="1" applyFill="1" applyAlignment="1" applyProtection="1">
      <alignment/>
      <protection locked="0"/>
    </xf>
    <xf numFmtId="2" fontId="5" fillId="2" borderId="7" xfId="0" applyNumberFormat="1" applyFont="1" applyFill="1" applyAlignment="1" applyProtection="1">
      <alignment/>
      <protection locked="0"/>
    </xf>
    <xf numFmtId="176" fontId="5" fillId="2" borderId="5" xfId="0" applyNumberFormat="1" applyFont="1" applyFill="1" applyAlignment="1" applyProtection="1">
      <alignment/>
      <protection locked="0"/>
    </xf>
    <xf numFmtId="0" fontId="5" fillId="2" borderId="11" xfId="0" applyNumberFormat="1" applyFont="1" applyFill="1" applyAlignment="1" applyProtection="1">
      <alignment/>
      <protection locked="0"/>
    </xf>
    <xf numFmtId="0" fontId="5" fillId="2" borderId="5" xfId="0" applyNumberFormat="1" applyFont="1" applyFill="1" applyAlignment="1" applyProtection="1">
      <alignment/>
      <protection locked="0"/>
    </xf>
    <xf numFmtId="0" fontId="5" fillId="2" borderId="7" xfId="0" applyNumberFormat="1" applyFont="1" applyFill="1" applyAlignment="1" applyProtection="1">
      <alignment/>
      <protection locked="0"/>
    </xf>
    <xf numFmtId="1" fontId="5" fillId="2" borderId="5" xfId="0" applyNumberFormat="1" applyFont="1" applyFill="1" applyAlignment="1" applyProtection="1">
      <alignment/>
      <protection locked="0"/>
    </xf>
    <xf numFmtId="1" fontId="5" fillId="2" borderId="1" xfId="0" applyNumberFormat="1" applyFont="1" applyFill="1" applyAlignment="1" applyProtection="1">
      <alignment/>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X38"/>
  <sheetViews>
    <sheetView showGridLines="0" tabSelected="1" showOutlineSymbols="0" zoomScale="120" zoomScaleNormal="120" workbookViewId="0" topLeftCell="A1">
      <selection activeCell="E14" sqref="E14"/>
    </sheetView>
  </sheetViews>
  <sheetFormatPr defaultColWidth="9.00390625" defaultRowHeight="14.25"/>
  <cols>
    <col min="1" max="1" width="11.375" style="0" customWidth="1"/>
    <col min="2" max="2" width="8.75390625" style="0" customWidth="1"/>
    <col min="3" max="6" width="6.75390625" style="0" customWidth="1"/>
    <col min="7" max="7" width="8.125" style="0" customWidth="1"/>
    <col min="8" max="8" width="6.75390625" style="0" customWidth="1"/>
    <col min="9" max="9" width="5.75390625" style="0" customWidth="1"/>
    <col min="10" max="10" width="6.50390625" style="0" customWidth="1"/>
    <col min="11" max="12" width="6.75390625" style="0" customWidth="1"/>
    <col min="13" max="15" width="10.75390625" style="0" customWidth="1"/>
    <col min="16" max="17" width="8.75390625" style="0" customWidth="1"/>
    <col min="18" max="18" width="9.50390625" style="0" customWidth="1"/>
    <col min="19" max="20" width="10.625" style="0" customWidth="1"/>
    <col min="21" max="21" width="9.75390625" style="0" customWidth="1"/>
    <col min="22" max="22" width="8.75390625" style="0" customWidth="1"/>
    <col min="23" max="23" width="8.625" style="0" customWidth="1"/>
    <col min="24" max="16384" width="10.75390625" style="0" customWidth="1"/>
  </cols>
  <sheetData>
    <row r="2" spans="1:11" ht="15.75">
      <c r="A2" s="1" t="s">
        <v>0</v>
      </c>
      <c r="B2" s="2"/>
      <c r="C2" s="2"/>
      <c r="G2" s="3" t="s">
        <v>1</v>
      </c>
      <c r="H2" s="4" t="s">
        <v>2</v>
      </c>
      <c r="J2" s="165" t="s">
        <v>249</v>
      </c>
      <c r="K2" s="5" t="s">
        <v>3</v>
      </c>
    </row>
    <row r="3" spans="1:19" ht="15.75">
      <c r="A3" s="1" t="s">
        <v>4</v>
      </c>
      <c r="G3" s="6"/>
      <c r="J3" s="6"/>
      <c r="P3" s="7" t="s">
        <v>5</v>
      </c>
      <c r="Q3" s="8"/>
      <c r="R3" s="8"/>
      <c r="S3" s="8"/>
    </row>
    <row r="4" spans="1:24" ht="14.25">
      <c r="A4" s="96"/>
      <c r="B4" s="96"/>
      <c r="C4" s="97" t="s">
        <v>6</v>
      </c>
      <c r="D4" s="98"/>
      <c r="E4" s="98"/>
      <c r="F4" s="98"/>
      <c r="G4" s="98"/>
      <c r="H4" s="98"/>
      <c r="I4" s="97" t="s">
        <v>7</v>
      </c>
      <c r="J4" s="98"/>
      <c r="K4" s="97" t="s">
        <v>8</v>
      </c>
      <c r="L4" s="99"/>
      <c r="M4" s="9" t="s">
        <v>9</v>
      </c>
      <c r="N4" s="10"/>
      <c r="P4" s="124"/>
      <c r="Q4" s="102" t="s">
        <v>10</v>
      </c>
      <c r="R4" s="102" t="s">
        <v>11</v>
      </c>
      <c r="S4" s="102" t="s">
        <v>12</v>
      </c>
      <c r="T4" s="102" t="s">
        <v>12</v>
      </c>
      <c r="U4" s="102" t="s">
        <v>13</v>
      </c>
      <c r="V4" s="125"/>
      <c r="W4" s="125"/>
      <c r="X4" s="11"/>
    </row>
    <row r="5" spans="1:24" ht="14.25">
      <c r="A5" s="100"/>
      <c r="B5" s="100"/>
      <c r="C5" s="101" t="s">
        <v>14</v>
      </c>
      <c r="D5" s="102" t="s">
        <v>15</v>
      </c>
      <c r="E5" s="102" t="s">
        <v>16</v>
      </c>
      <c r="F5" s="102" t="s">
        <v>17</v>
      </c>
      <c r="G5" s="102" t="s">
        <v>18</v>
      </c>
      <c r="H5" s="102" t="s">
        <v>19</v>
      </c>
      <c r="I5" s="101" t="s">
        <v>15</v>
      </c>
      <c r="J5" s="102" t="s">
        <v>16</v>
      </c>
      <c r="K5" s="101" t="s">
        <v>20</v>
      </c>
      <c r="L5" s="102" t="s">
        <v>21</v>
      </c>
      <c r="M5" s="9" t="s">
        <v>22</v>
      </c>
      <c r="N5" s="10"/>
      <c r="P5" s="126"/>
      <c r="Q5" s="126"/>
      <c r="R5" s="127" t="s">
        <v>12</v>
      </c>
      <c r="S5" s="127" t="s">
        <v>23</v>
      </c>
      <c r="T5" s="127" t="s">
        <v>24</v>
      </c>
      <c r="U5" s="102" t="s">
        <v>25</v>
      </c>
      <c r="V5" s="102" t="s">
        <v>26</v>
      </c>
      <c r="W5" s="102" t="s">
        <v>27</v>
      </c>
      <c r="X5" s="11"/>
    </row>
    <row r="6" spans="1:24" ht="14.25">
      <c r="A6" s="96"/>
      <c r="B6" s="97" t="s">
        <v>28</v>
      </c>
      <c r="C6" s="186">
        <v>3.67</v>
      </c>
      <c r="D6" s="187">
        <v>1.87</v>
      </c>
      <c r="E6" s="187">
        <v>0.47</v>
      </c>
      <c r="F6" s="188">
        <v>0.02</v>
      </c>
      <c r="G6" s="188">
        <v>0.023</v>
      </c>
      <c r="H6" s="188">
        <v>0</v>
      </c>
      <c r="I6" s="195">
        <v>80</v>
      </c>
      <c r="J6" s="196">
        <v>80</v>
      </c>
      <c r="K6" s="189">
        <v>3.9</v>
      </c>
      <c r="L6" s="108">
        <f>T6</f>
        <v>3.9</v>
      </c>
      <c r="M6" s="13"/>
      <c r="P6" s="102" t="str">
        <f>B6</f>
        <v>　Ｆ１-ＥＰ</v>
      </c>
      <c r="Q6" s="109">
        <f>-1.984+0.00228*'配合計算'!H7-0.3592*C6+0.000435*'配合計算'!H8</f>
        <v>0.3622359999999997</v>
      </c>
      <c r="R6" s="109">
        <f>Q6+C6</f>
        <v>4.032235999999999</v>
      </c>
      <c r="S6" s="109">
        <f>K6</f>
        <v>3.9</v>
      </c>
      <c r="T6" s="109">
        <f>IF(R6&lt;S6,R6,S6)</f>
        <v>3.9</v>
      </c>
      <c r="U6" s="109">
        <f>T6-C6</f>
        <v>0.22999999999999998</v>
      </c>
      <c r="V6" s="110">
        <f>'配合計算'!D7</f>
        <v>50</v>
      </c>
      <c r="W6" s="109">
        <f>U6*V6/100</f>
        <v>0.115</v>
      </c>
      <c r="X6" s="11"/>
    </row>
    <row r="7" spans="1:24" ht="14.25">
      <c r="A7" s="103" t="s">
        <v>29</v>
      </c>
      <c r="B7" s="97" t="s">
        <v>30</v>
      </c>
      <c r="C7" s="189">
        <v>0.1</v>
      </c>
      <c r="D7" s="190">
        <v>0.2</v>
      </c>
      <c r="E7" s="190">
        <v>0.5</v>
      </c>
      <c r="F7" s="191">
        <v>0.01</v>
      </c>
      <c r="G7" s="191">
        <v>0.01</v>
      </c>
      <c r="H7" s="191">
        <v>0.02</v>
      </c>
      <c r="I7" s="106">
        <f aca="true" t="shared" si="0" ref="I7:J9">I6</f>
        <v>80</v>
      </c>
      <c r="J7" s="107">
        <f t="shared" si="0"/>
        <v>80</v>
      </c>
      <c r="K7" s="192">
        <v>2.8</v>
      </c>
      <c r="L7" s="109">
        <f>T7</f>
        <v>2.8</v>
      </c>
      <c r="M7" s="13"/>
      <c r="P7" s="102" t="str">
        <f>B7</f>
        <v>　鋼屑</v>
      </c>
      <c r="Q7" s="109">
        <f>0.005*'配合計算'!H7-4.85</f>
        <v>2.9000000000000004</v>
      </c>
      <c r="R7" s="109">
        <f>Q7+C7</f>
        <v>3.0000000000000004</v>
      </c>
      <c r="S7" s="109">
        <f>K7</f>
        <v>2.8</v>
      </c>
      <c r="T7" s="109">
        <f>IF(R7&lt;S7,R7,S7)</f>
        <v>2.8</v>
      </c>
      <c r="U7" s="109">
        <f>T7-C7</f>
        <v>2.6999999999999997</v>
      </c>
      <c r="V7" s="110">
        <f>'配合計算'!D8</f>
        <v>30</v>
      </c>
      <c r="W7" s="109">
        <f>U7*V7/100</f>
        <v>0.8099999999999998</v>
      </c>
      <c r="X7" s="11"/>
    </row>
    <row r="8" spans="1:24" ht="14.25">
      <c r="A8" s="103" t="s">
        <v>31</v>
      </c>
      <c r="B8" s="101" t="s">
        <v>32</v>
      </c>
      <c r="C8" s="192">
        <v>3.25</v>
      </c>
      <c r="D8" s="193">
        <v>1.7</v>
      </c>
      <c r="E8" s="193">
        <v>0.43</v>
      </c>
      <c r="F8" s="194">
        <v>0.072</v>
      </c>
      <c r="G8" s="194">
        <v>0.076</v>
      </c>
      <c r="H8" s="194">
        <v>0.02</v>
      </c>
      <c r="I8" s="106">
        <f t="shared" si="0"/>
        <v>80</v>
      </c>
      <c r="J8" s="107">
        <f t="shared" si="0"/>
        <v>80</v>
      </c>
      <c r="K8" s="192">
        <v>3.9</v>
      </c>
      <c r="L8" s="109">
        <f>T8</f>
        <v>3.7630999999999997</v>
      </c>
      <c r="M8" s="13"/>
      <c r="P8" s="102" t="str">
        <f>B8</f>
        <v>　戻り</v>
      </c>
      <c r="Q8" s="109">
        <f>-1.984+0.00228*'配合計算'!H7-0.3592*C8+0.000435*'配合計算'!H8</f>
        <v>0.5130999999999999</v>
      </c>
      <c r="R8" s="109">
        <f>Q8+C8</f>
        <v>3.7630999999999997</v>
      </c>
      <c r="S8" s="109">
        <f>K8</f>
        <v>3.9</v>
      </c>
      <c r="T8" s="109">
        <f>IF(R8&lt;S8,R8,S8)</f>
        <v>3.7630999999999997</v>
      </c>
      <c r="U8" s="109">
        <f>T8-C8</f>
        <v>0.5130999999999997</v>
      </c>
      <c r="V8" s="110">
        <f>'配合計算'!D9</f>
        <v>20</v>
      </c>
      <c r="W8" s="109">
        <f>U8*V8/100</f>
        <v>0.10261999999999993</v>
      </c>
      <c r="X8" s="11"/>
    </row>
    <row r="9" spans="1:24" ht="14.25">
      <c r="A9" s="103" t="s">
        <v>33</v>
      </c>
      <c r="B9" s="101" t="s">
        <v>34</v>
      </c>
      <c r="C9" s="192">
        <v>3.25</v>
      </c>
      <c r="D9" s="193">
        <v>1.7</v>
      </c>
      <c r="E9" s="193">
        <v>0.43</v>
      </c>
      <c r="F9" s="194">
        <v>0.072</v>
      </c>
      <c r="G9" s="194">
        <v>0.076</v>
      </c>
      <c r="H9" s="194">
        <v>0.03</v>
      </c>
      <c r="I9" s="106">
        <f t="shared" si="0"/>
        <v>80</v>
      </c>
      <c r="J9" s="107">
        <f t="shared" si="0"/>
        <v>80</v>
      </c>
      <c r="K9" s="192">
        <v>3.9</v>
      </c>
      <c r="L9" s="109">
        <f>T9</f>
        <v>3.7630999999999997</v>
      </c>
      <c r="M9" s="13"/>
      <c r="P9" s="102" t="str">
        <f>B9</f>
        <v>　故銑</v>
      </c>
      <c r="Q9" s="109">
        <f>-1.984+0.00228*'配合計算'!H7-0.3592*C9+0.000435*'配合計算'!H8</f>
        <v>0.5130999999999999</v>
      </c>
      <c r="R9" s="109">
        <f>Q9+C9</f>
        <v>3.7630999999999997</v>
      </c>
      <c r="S9" s="109">
        <f>K9</f>
        <v>3.9</v>
      </c>
      <c r="T9" s="109">
        <f>IF(R9&lt;S9,R9,S9)</f>
        <v>3.7630999999999997</v>
      </c>
      <c r="U9" s="109">
        <f>T9-C9</f>
        <v>0.5130999999999997</v>
      </c>
      <c r="V9" s="110">
        <f>'配合計算'!D10</f>
        <v>0</v>
      </c>
      <c r="W9" s="109">
        <f>U9*V9/100</f>
        <v>0</v>
      </c>
      <c r="X9" s="11"/>
    </row>
    <row r="10" spans="1:24" ht="14.25">
      <c r="A10" s="100"/>
      <c r="B10" s="104" t="s">
        <v>35</v>
      </c>
      <c r="C10" s="111"/>
      <c r="D10" s="199">
        <v>75</v>
      </c>
      <c r="E10" s="113"/>
      <c r="F10" s="114"/>
      <c r="G10" s="115"/>
      <c r="H10" s="114"/>
      <c r="I10" s="198">
        <v>80</v>
      </c>
      <c r="J10" s="16"/>
      <c r="K10" s="17"/>
      <c r="L10" s="18"/>
      <c r="P10" s="6"/>
      <c r="Q10" s="6"/>
      <c r="R10" s="6"/>
      <c r="S10" s="6"/>
      <c r="T10" s="6"/>
      <c r="U10" s="110" t="s">
        <v>36</v>
      </c>
      <c r="V10" s="128" t="s">
        <v>37</v>
      </c>
      <c r="W10" s="109">
        <f>SUM(W6:W9)</f>
        <v>1.0276199999999998</v>
      </c>
      <c r="X10" s="11"/>
    </row>
    <row r="11" spans="1:24" ht="14.25">
      <c r="A11" s="100"/>
      <c r="B11" s="177" t="s">
        <v>255</v>
      </c>
      <c r="C11" s="112"/>
      <c r="D11" s="116"/>
      <c r="E11" s="193">
        <v>75</v>
      </c>
      <c r="F11" s="118"/>
      <c r="G11" s="118"/>
      <c r="H11" s="118"/>
      <c r="I11" s="121"/>
      <c r="J11" s="197">
        <v>80</v>
      </c>
      <c r="K11" s="19" t="s">
        <v>38</v>
      </c>
      <c r="L11" s="20"/>
      <c r="M11" s="21"/>
      <c r="N11" s="21"/>
      <c r="U11" s="110" t="s">
        <v>39</v>
      </c>
      <c r="V11" s="129"/>
      <c r="W11" s="109">
        <f>W10/C12*100</f>
        <v>1.1417999999999997</v>
      </c>
      <c r="X11" s="11"/>
    </row>
    <row r="12" spans="1:23" ht="15.75">
      <c r="A12" s="100"/>
      <c r="B12" s="101" t="s">
        <v>40</v>
      </c>
      <c r="C12" s="192">
        <v>90</v>
      </c>
      <c r="D12" s="116"/>
      <c r="E12" s="116"/>
      <c r="F12" s="118"/>
      <c r="G12" s="194">
        <v>0.6</v>
      </c>
      <c r="H12" s="118"/>
      <c r="I12" s="121"/>
      <c r="J12" s="122"/>
      <c r="K12" s="19" t="s">
        <v>41</v>
      </c>
      <c r="L12" s="20"/>
      <c r="M12" s="21"/>
      <c r="N12" s="21"/>
      <c r="P12" s="1" t="s">
        <v>42</v>
      </c>
      <c r="U12" s="6"/>
      <c r="V12" s="6"/>
      <c r="W12" s="6"/>
    </row>
    <row r="13" spans="1:22" ht="14.25">
      <c r="A13" s="100"/>
      <c r="B13" s="101" t="s">
        <v>43</v>
      </c>
      <c r="C13" s="112"/>
      <c r="D13" s="116"/>
      <c r="E13" s="116"/>
      <c r="F13" s="118"/>
      <c r="G13" s="118"/>
      <c r="H13" s="118"/>
      <c r="I13" s="121"/>
      <c r="J13" s="122"/>
      <c r="K13" s="19" t="s">
        <v>44</v>
      </c>
      <c r="L13" s="20"/>
      <c r="M13" s="21"/>
      <c r="N13" s="21"/>
      <c r="P13" s="22" t="s">
        <v>45</v>
      </c>
      <c r="Q13" s="23"/>
      <c r="R13" s="23"/>
      <c r="S13" s="23"/>
      <c r="T13" s="23"/>
      <c r="U13" s="23"/>
      <c r="V13" s="24" t="s">
        <v>46</v>
      </c>
    </row>
    <row r="14" spans="1:18" ht="14.25">
      <c r="A14" s="100"/>
      <c r="B14" s="105"/>
      <c r="C14" s="112"/>
      <c r="D14" s="116"/>
      <c r="E14" s="116"/>
      <c r="F14" s="118"/>
      <c r="G14" s="118"/>
      <c r="H14" s="118"/>
      <c r="I14" s="121"/>
      <c r="J14" s="122"/>
      <c r="K14" s="25" t="s">
        <v>47</v>
      </c>
      <c r="L14" s="26"/>
      <c r="R14" t="s">
        <v>48</v>
      </c>
    </row>
    <row r="15" spans="1:22" ht="14.25">
      <c r="A15" s="97" t="s">
        <v>49</v>
      </c>
      <c r="B15" s="97" t="s">
        <v>35</v>
      </c>
      <c r="C15" s="117"/>
      <c r="D15" s="190">
        <v>75</v>
      </c>
      <c r="E15" s="119"/>
      <c r="F15" s="120"/>
      <c r="G15" s="120"/>
      <c r="H15" s="120"/>
      <c r="I15" s="195">
        <v>90</v>
      </c>
      <c r="J15" s="123"/>
      <c r="K15" s="25" t="s">
        <v>50</v>
      </c>
      <c r="L15" s="26"/>
      <c r="P15" s="27" t="s">
        <v>51</v>
      </c>
      <c r="Q15" s="28"/>
      <c r="R15" s="27"/>
      <c r="S15" s="27"/>
      <c r="T15" s="27"/>
      <c r="U15" s="27"/>
      <c r="V15" s="27"/>
    </row>
    <row r="16" spans="1:12" ht="14.25">
      <c r="A16" s="100"/>
      <c r="B16" s="101" t="s">
        <v>52</v>
      </c>
      <c r="C16" s="112"/>
      <c r="D16" s="193">
        <v>75</v>
      </c>
      <c r="E16" s="116"/>
      <c r="F16" s="118"/>
      <c r="G16" s="118"/>
      <c r="H16" s="118"/>
      <c r="I16" s="200">
        <v>90</v>
      </c>
      <c r="J16" s="122"/>
      <c r="K16" s="25" t="s">
        <v>53</v>
      </c>
      <c r="L16" s="26"/>
    </row>
    <row r="17" spans="1:22" ht="14.25">
      <c r="A17" s="100"/>
      <c r="B17" s="101" t="s">
        <v>54</v>
      </c>
      <c r="C17" s="112"/>
      <c r="D17" s="116"/>
      <c r="E17" s="116"/>
      <c r="F17" s="118"/>
      <c r="G17" s="118"/>
      <c r="H17" s="193">
        <v>95</v>
      </c>
      <c r="I17" s="121"/>
      <c r="J17" s="122"/>
      <c r="K17" s="25" t="s">
        <v>55</v>
      </c>
      <c r="L17" s="26"/>
      <c r="P17" s="22" t="s">
        <v>56</v>
      </c>
      <c r="Q17" s="23"/>
      <c r="R17" s="23"/>
      <c r="S17" s="23"/>
      <c r="T17" s="24" t="s">
        <v>57</v>
      </c>
      <c r="U17" s="23"/>
      <c r="V17" s="23"/>
    </row>
    <row r="18" spans="1:18" ht="14.25">
      <c r="A18" s="29"/>
      <c r="B18" s="29"/>
      <c r="C18" s="29"/>
      <c r="D18" s="29"/>
      <c r="E18" s="29"/>
      <c r="F18" s="29"/>
      <c r="G18" s="29"/>
      <c r="H18" s="29"/>
      <c r="I18" s="29"/>
      <c r="J18" s="29"/>
      <c r="K18" t="s">
        <v>58</v>
      </c>
      <c r="R18" s="30" t="s">
        <v>59</v>
      </c>
    </row>
    <row r="19" ht="14.25">
      <c r="A19" t="s">
        <v>256</v>
      </c>
    </row>
    <row r="34" spans="2:7" ht="14.25">
      <c r="B34" s="27" t="s">
        <v>60</v>
      </c>
      <c r="C34" s="28"/>
      <c r="D34" s="28"/>
      <c r="E34" s="28"/>
      <c r="F34" s="28"/>
      <c r="G34" s="28"/>
    </row>
    <row r="36" ht="14.25">
      <c r="B36" t="s">
        <v>61</v>
      </c>
    </row>
    <row r="38" ht="14.25">
      <c r="B38" t="s">
        <v>62</v>
      </c>
    </row>
  </sheetData>
  <sheetProtection sheet="1" objects="1" scenarios="1"/>
  <printOptions/>
  <pageMargins left="0.5" right="0.5" top="0.5" bottom="0.5"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BA57"/>
  <sheetViews>
    <sheetView showGridLines="0" showOutlineSymbols="0" workbookViewId="0" topLeftCell="A1">
      <selection activeCell="F11" sqref="F11"/>
    </sheetView>
  </sheetViews>
  <sheetFormatPr defaultColWidth="9.00390625" defaultRowHeight="14.25"/>
  <cols>
    <col min="1" max="1" width="3.125" style="0" customWidth="1"/>
    <col min="2" max="2" width="10.50390625" style="0" customWidth="1"/>
    <col min="3" max="4" width="8.50390625" style="0" customWidth="1"/>
    <col min="5" max="5" width="4.75390625" style="0" customWidth="1"/>
    <col min="6" max="6" width="14.75390625" style="0" customWidth="1"/>
    <col min="7" max="7" width="7.75390625" style="0" customWidth="1"/>
    <col min="8" max="8" width="6.75390625" style="0" customWidth="1"/>
    <col min="9" max="9" width="6.375" style="0" customWidth="1"/>
    <col min="10" max="10" width="8.875" style="0" customWidth="1"/>
    <col min="11" max="11" width="8.125" style="0" customWidth="1"/>
    <col min="12" max="12" width="8.375" style="0" customWidth="1"/>
    <col min="13" max="13" width="8.125" style="0" customWidth="1"/>
    <col min="14" max="15" width="10.75390625" style="0" customWidth="1"/>
    <col min="16" max="16" width="8.375" style="0" customWidth="1"/>
    <col min="17" max="22" width="6.75390625" style="0" customWidth="1"/>
    <col min="23" max="23" width="6.625" style="0" customWidth="1"/>
    <col min="24" max="24" width="14.50390625" style="0" customWidth="1"/>
    <col min="25" max="25" width="8.50390625" style="0" customWidth="1"/>
    <col min="26" max="26" width="8.625" style="0" customWidth="1"/>
    <col min="27" max="27" width="11.75390625" style="0" customWidth="1"/>
    <col min="28" max="28" width="6.75390625" style="0" customWidth="1"/>
    <col min="29" max="29" width="12.50390625" style="0" customWidth="1"/>
    <col min="30" max="30" width="8.625" style="0" customWidth="1"/>
    <col min="31" max="16384" width="10.75390625" style="0" customWidth="1"/>
  </cols>
  <sheetData>
    <row r="1" spans="2:53" ht="17.25" customHeight="1">
      <c r="B1" s="32" t="s">
        <v>63</v>
      </c>
      <c r="C1" s="33"/>
      <c r="F1" s="34"/>
      <c r="BA1" t="s">
        <v>254</v>
      </c>
    </row>
    <row r="2" spans="4:53" ht="14.25">
      <c r="D2" s="3" t="s">
        <v>64</v>
      </c>
      <c r="E2" s="5" t="s">
        <v>65</v>
      </c>
      <c r="G2" s="110"/>
      <c r="H2" s="5" t="s">
        <v>3</v>
      </c>
      <c r="X2" t="s">
        <v>66</v>
      </c>
      <c r="BA2" t="s">
        <v>253</v>
      </c>
    </row>
    <row r="3" spans="4:26" ht="19.5" customHeight="1">
      <c r="D3" s="6"/>
      <c r="G3" s="6"/>
      <c r="P3" t="s">
        <v>67</v>
      </c>
      <c r="X3" s="7" t="s">
        <v>68</v>
      </c>
      <c r="Y3" s="8"/>
      <c r="Z3" s="8"/>
    </row>
    <row r="4" spans="2:31" ht="14.25">
      <c r="B4" s="7" t="s">
        <v>69</v>
      </c>
      <c r="C4" s="8"/>
      <c r="D4" s="35"/>
      <c r="F4" s="7" t="s">
        <v>70</v>
      </c>
      <c r="J4" s="7" t="s">
        <v>71</v>
      </c>
      <c r="K4" s="8"/>
      <c r="L4" s="8"/>
      <c r="M4" s="8"/>
      <c r="N4" s="8"/>
      <c r="P4" s="7" t="s">
        <v>72</v>
      </c>
      <c r="Q4" s="8"/>
      <c r="X4" s="96"/>
      <c r="Y4" s="97" t="s">
        <v>73</v>
      </c>
      <c r="Z4" s="132" t="s">
        <v>74</v>
      </c>
      <c r="AA4" s="97" t="s">
        <v>75</v>
      </c>
      <c r="AB4" s="98"/>
      <c r="AC4" s="98"/>
      <c r="AD4" s="98"/>
      <c r="AE4" s="13"/>
    </row>
    <row r="5" spans="2:31" ht="14.25">
      <c r="B5" s="96"/>
      <c r="C5" s="96"/>
      <c r="D5" s="97" t="s">
        <v>76</v>
      </c>
      <c r="E5" s="13"/>
      <c r="F5" s="96"/>
      <c r="G5" s="97" t="s">
        <v>77</v>
      </c>
      <c r="H5" s="97" t="s">
        <v>78</v>
      </c>
      <c r="I5" s="13"/>
      <c r="J5" s="96"/>
      <c r="K5" s="97" t="s">
        <v>79</v>
      </c>
      <c r="L5" s="132" t="s">
        <v>80</v>
      </c>
      <c r="M5" s="132" t="s">
        <v>81</v>
      </c>
      <c r="N5" s="13"/>
      <c r="P5" s="124"/>
      <c r="Q5" s="102" t="str">
        <f>'原材料'!C5</f>
        <v>　Ｃ</v>
      </c>
      <c r="R5" s="102" t="str">
        <f>'原材料'!D5</f>
        <v>　Ｓｉ</v>
      </c>
      <c r="S5" s="102" t="str">
        <f>'原材料'!E5</f>
        <v>　Ｍｎ</v>
      </c>
      <c r="T5" s="102" t="str">
        <f>'原材料'!F5</f>
        <v>　Ｐ</v>
      </c>
      <c r="U5" s="102" t="str">
        <f>'原材料'!G5</f>
        <v>　Ｓ</v>
      </c>
      <c r="V5" s="102" t="str">
        <f>'原材料'!H5</f>
        <v>　Ｃｕ</v>
      </c>
      <c r="W5" s="11"/>
      <c r="X5" s="97" t="s">
        <v>82</v>
      </c>
      <c r="Y5" s="138">
        <f>G9*'原材料'!C12/100</f>
        <v>11.7</v>
      </c>
      <c r="Z5" s="152">
        <f>H9*'原材料'!C12/100</f>
        <v>11.7</v>
      </c>
      <c r="AA5" s="153" t="s">
        <v>83</v>
      </c>
      <c r="AB5" s="154"/>
      <c r="AC5" s="154"/>
      <c r="AD5" s="154"/>
      <c r="AE5" s="13"/>
    </row>
    <row r="6" spans="2:31" ht="14.25">
      <c r="B6" s="100"/>
      <c r="C6" s="100"/>
      <c r="D6" s="103" t="s">
        <v>84</v>
      </c>
      <c r="E6" s="13"/>
      <c r="F6" s="100"/>
      <c r="G6" s="103" t="s">
        <v>85</v>
      </c>
      <c r="H6" s="103" t="s">
        <v>86</v>
      </c>
      <c r="I6" s="13"/>
      <c r="J6" s="100"/>
      <c r="K6" s="103" t="s">
        <v>87</v>
      </c>
      <c r="L6" s="127" t="s">
        <v>87</v>
      </c>
      <c r="M6" s="127" t="s">
        <v>87</v>
      </c>
      <c r="N6" s="13"/>
      <c r="P6" s="102" t="str">
        <f>C7</f>
        <v>　Ｆ１-ＥＰ</v>
      </c>
      <c r="Q6" s="109">
        <f>'原材料'!L6*D7/100</f>
        <v>1.95</v>
      </c>
      <c r="R6" s="109">
        <f>'原材料'!D6*'原材料'!I6*D7/10000</f>
        <v>0.7480000000000001</v>
      </c>
      <c r="S6" s="109">
        <f>'原材料'!E6*'原材料'!J6*D7/10000</f>
        <v>0.18799999999999997</v>
      </c>
      <c r="T6" s="139">
        <f>'原材料'!F6*D7/100</f>
        <v>0.01</v>
      </c>
      <c r="U6" s="139">
        <f>'原材料'!G6*D7/100</f>
        <v>0.0115</v>
      </c>
      <c r="V6" s="139">
        <f>'原材料'!H6*D7/100</f>
        <v>0</v>
      </c>
      <c r="W6" s="11"/>
      <c r="X6" s="101" t="s">
        <v>88</v>
      </c>
      <c r="Y6" s="106">
        <f>G7</f>
        <v>1550</v>
      </c>
      <c r="Z6" s="107" t="s">
        <v>89</v>
      </c>
      <c r="AA6" s="144"/>
      <c r="AB6" s="129"/>
      <c r="AC6" s="129"/>
      <c r="AD6" s="129"/>
      <c r="AE6" s="13"/>
    </row>
    <row r="7" spans="2:31" ht="14.25">
      <c r="B7" s="96"/>
      <c r="C7" s="97" t="str">
        <f>'原材料'!B6</f>
        <v>　Ｆ１-ＥＰ</v>
      </c>
      <c r="D7" s="133">
        <f>D11-D10-D9-D8</f>
        <v>50</v>
      </c>
      <c r="E7" s="13"/>
      <c r="F7" s="97" t="s">
        <v>90</v>
      </c>
      <c r="G7" s="201">
        <v>1550</v>
      </c>
      <c r="H7" s="137">
        <f>Z14</f>
        <v>1550</v>
      </c>
      <c r="I7" s="13"/>
      <c r="J7" s="97" t="str">
        <f>'原材料'!C5</f>
        <v>　Ｃ</v>
      </c>
      <c r="K7" s="133">
        <f>M7</f>
        <v>3.54262</v>
      </c>
      <c r="L7" s="108">
        <f>M7</f>
        <v>3.54262</v>
      </c>
      <c r="M7" s="36">
        <f>Q11</f>
        <v>3.54262</v>
      </c>
      <c r="N7" s="13"/>
      <c r="P7" s="102" t="str">
        <f>C8</f>
        <v>　鋼屑</v>
      </c>
      <c r="Q7" s="109">
        <f>'原材料'!L7*D8/100</f>
        <v>0.84</v>
      </c>
      <c r="R7" s="109">
        <f>'原材料'!D7*'原材料'!I7*D8/10000</f>
        <v>0.048</v>
      </c>
      <c r="S7" s="109">
        <f>'原材料'!E7*'原材料'!J7*D8/10000</f>
        <v>0.12</v>
      </c>
      <c r="T7" s="139">
        <f>'原材料'!F7*D8/100</f>
        <v>0.003</v>
      </c>
      <c r="U7" s="139">
        <f>'原材料'!G7*D8/100</f>
        <v>0.003</v>
      </c>
      <c r="V7" s="139">
        <f>'原材料'!H7*D8/100</f>
        <v>0.006</v>
      </c>
      <c r="W7" s="11"/>
      <c r="X7" s="101" t="s">
        <v>91</v>
      </c>
      <c r="Y7" s="106">
        <f>77.8*SQRT(Y5)+1190</f>
        <v>1456.1169442181388</v>
      </c>
      <c r="Z7" s="107">
        <f>77.8*SQRT(Z5)+1190</f>
        <v>1456.1169442181388</v>
      </c>
      <c r="AA7" s="155" t="s">
        <v>92</v>
      </c>
      <c r="AB7" s="156"/>
      <c r="AC7" s="157"/>
      <c r="AD7" s="129"/>
      <c r="AE7" s="13"/>
    </row>
    <row r="8" spans="2:31" ht="14.25">
      <c r="B8" s="103" t="s">
        <v>29</v>
      </c>
      <c r="C8" s="101" t="str">
        <f>'原材料'!B7</f>
        <v>　鋼屑</v>
      </c>
      <c r="D8" s="192">
        <v>30</v>
      </c>
      <c r="E8" s="13"/>
      <c r="F8" s="101" t="s">
        <v>93</v>
      </c>
      <c r="G8" s="202">
        <v>300</v>
      </c>
      <c r="H8" s="202">
        <v>300</v>
      </c>
      <c r="I8" s="13"/>
      <c r="J8" s="101" t="str">
        <f>'原材料'!D5</f>
        <v>　Ｓｉ</v>
      </c>
      <c r="K8" s="135">
        <f>R11</f>
        <v>1.068</v>
      </c>
      <c r="L8" s="109">
        <f>R15</f>
        <v>1.5975000000000001</v>
      </c>
      <c r="M8" s="193">
        <v>1.8</v>
      </c>
      <c r="N8" s="13"/>
      <c r="P8" s="102" t="str">
        <f>C9</f>
        <v>　戻り</v>
      </c>
      <c r="Q8" s="109">
        <f>'原材料'!L8*D9/100</f>
        <v>0.75262</v>
      </c>
      <c r="R8" s="109">
        <f>'原材料'!D8*'原材料'!I8*D9/10000</f>
        <v>0.272</v>
      </c>
      <c r="S8" s="109">
        <f>'原材料'!E8*'原材料'!J8*D9/10000</f>
        <v>0.0688</v>
      </c>
      <c r="T8" s="139">
        <f>'原材料'!F8*D9/100</f>
        <v>0.0144</v>
      </c>
      <c r="U8" s="139">
        <f>'原材料'!G8*D9/100</f>
        <v>0.0152</v>
      </c>
      <c r="V8" s="139">
        <f>'原材料'!H8*D9/100</f>
        <v>0.004</v>
      </c>
      <c r="W8" s="11"/>
      <c r="X8" s="101" t="s">
        <v>94</v>
      </c>
      <c r="Y8" s="106">
        <f>Y6-Y7</f>
        <v>93.88305578186123</v>
      </c>
      <c r="Z8" s="107"/>
      <c r="AA8" s="144"/>
      <c r="AB8" s="129"/>
      <c r="AC8" s="129"/>
      <c r="AD8" s="129"/>
      <c r="AE8" s="13"/>
    </row>
    <row r="9" spans="2:31" ht="14.25">
      <c r="B9" s="179" t="s">
        <v>257</v>
      </c>
      <c r="C9" s="101" t="str">
        <f>'原材料'!B8</f>
        <v>　戻り</v>
      </c>
      <c r="D9" s="192">
        <v>20</v>
      </c>
      <c r="E9" s="13"/>
      <c r="F9" s="101" t="s">
        <v>95</v>
      </c>
      <c r="G9" s="200">
        <v>13</v>
      </c>
      <c r="H9" s="200">
        <v>13</v>
      </c>
      <c r="I9" s="13"/>
      <c r="J9" s="101" t="str">
        <f>'原材料'!E5</f>
        <v>　Ｍｎ</v>
      </c>
      <c r="K9" s="135">
        <f>S11</f>
        <v>0.3767999999999999</v>
      </c>
      <c r="L9" s="109">
        <f>S15</f>
        <v>0.5</v>
      </c>
      <c r="M9" s="193">
        <v>0.5</v>
      </c>
      <c r="N9" s="13"/>
      <c r="P9" s="102" t="str">
        <f>C10</f>
        <v>　故銑</v>
      </c>
      <c r="Q9" s="109">
        <f>'原材料'!L9*D10/100</f>
        <v>0</v>
      </c>
      <c r="R9" s="109">
        <f>'原材料'!D9*'原材料'!I9*D10/10000</f>
        <v>0</v>
      </c>
      <c r="S9" s="109">
        <f>'原材料'!E9*'原材料'!J9*D10/10000</f>
        <v>0</v>
      </c>
      <c r="T9" s="139">
        <f>'原材料'!F9*D10/100</f>
        <v>0</v>
      </c>
      <c r="U9" s="139">
        <f>'原材料'!G9*D10/100</f>
        <v>0</v>
      </c>
      <c r="V9" s="139">
        <f>'原材料'!H9*D10/100</f>
        <v>0</v>
      </c>
      <c r="W9" s="11"/>
      <c r="X9" s="101" t="s">
        <v>96</v>
      </c>
      <c r="Y9" s="106" t="s">
        <v>97</v>
      </c>
      <c r="Z9" s="107">
        <f>Z7+Y8</f>
        <v>1550</v>
      </c>
      <c r="AA9" s="158" t="s">
        <v>98</v>
      </c>
      <c r="AB9" s="129"/>
      <c r="AC9" s="129"/>
      <c r="AD9" s="129"/>
      <c r="AE9" s="13"/>
    </row>
    <row r="10" spans="2:30" ht="14.25">
      <c r="B10" s="103" t="s">
        <v>33</v>
      </c>
      <c r="C10" s="101" t="str">
        <f>'原材料'!B9</f>
        <v>　故銑</v>
      </c>
      <c r="D10" s="192">
        <v>0</v>
      </c>
      <c r="E10" s="13"/>
      <c r="F10" s="101" t="s">
        <v>99</v>
      </c>
      <c r="G10" s="200">
        <v>3</v>
      </c>
      <c r="H10" s="106">
        <f>AD33</f>
        <v>3</v>
      </c>
      <c r="I10" s="13"/>
      <c r="J10" s="101" t="str">
        <f>'原材料'!F5</f>
        <v>　Ｐ</v>
      </c>
      <c r="K10" s="136">
        <f>T11</f>
        <v>0.0274</v>
      </c>
      <c r="L10" s="139">
        <f>K10</f>
        <v>0.0274</v>
      </c>
      <c r="M10" s="139">
        <f>L10</f>
        <v>0.0274</v>
      </c>
      <c r="N10" s="13"/>
      <c r="P10" s="102" t="str">
        <f>'原材料'!B12</f>
        <v>　ｺｰｸｽ</v>
      </c>
      <c r="Q10" s="145"/>
      <c r="R10" s="145"/>
      <c r="S10" s="145"/>
      <c r="T10" s="145"/>
      <c r="U10" s="110">
        <f>H9*'原材料'!G12/100*0.6</f>
        <v>0.0468</v>
      </c>
      <c r="V10" s="145"/>
      <c r="W10" s="11"/>
      <c r="X10" s="37" t="s">
        <v>100</v>
      </c>
      <c r="Y10" s="38"/>
      <c r="Z10" s="38"/>
      <c r="AA10" s="29"/>
      <c r="AB10" s="29"/>
      <c r="AC10" s="29"/>
      <c r="AD10" s="29"/>
    </row>
    <row r="11" spans="2:31" ht="14.25">
      <c r="B11" s="100"/>
      <c r="C11" s="104" t="s">
        <v>101</v>
      </c>
      <c r="D11" s="134">
        <v>100</v>
      </c>
      <c r="E11" s="13"/>
      <c r="F11" s="39"/>
      <c r="G11" s="39"/>
      <c r="H11" s="39"/>
      <c r="J11" s="101" t="str">
        <f>'原材料'!G5</f>
        <v>　Ｓ</v>
      </c>
      <c r="K11" s="136">
        <f>U11</f>
        <v>0.0765</v>
      </c>
      <c r="L11" s="139">
        <f>K11</f>
        <v>0.0765</v>
      </c>
      <c r="M11" s="139">
        <f>L11</f>
        <v>0.0765</v>
      </c>
      <c r="N11" s="13"/>
      <c r="P11" s="147" t="str">
        <f>C11</f>
        <v>  小　計</v>
      </c>
      <c r="Q11" s="151">
        <f>SUM(Q6:Q9)</f>
        <v>3.54262</v>
      </c>
      <c r="R11" s="151">
        <f>SUM(R6:R9)</f>
        <v>1.068</v>
      </c>
      <c r="S11" s="151">
        <f>SUM(S6:S9)</f>
        <v>0.3767999999999999</v>
      </c>
      <c r="T11" s="141">
        <f>SUM(T6:T9)</f>
        <v>0.0274</v>
      </c>
      <c r="U11" s="141">
        <f>SUM(U6:U10)</f>
        <v>0.0765</v>
      </c>
      <c r="V11" s="141">
        <f>SUM(V6:V9)</f>
        <v>0.01</v>
      </c>
      <c r="W11" s="11"/>
      <c r="X11" s="97" t="s">
        <v>102</v>
      </c>
      <c r="Y11" s="138">
        <f>G8</f>
        <v>300</v>
      </c>
      <c r="Z11" s="152">
        <f>H8</f>
        <v>300</v>
      </c>
      <c r="AA11" s="159"/>
      <c r="AB11" s="154"/>
      <c r="AC11" s="154"/>
      <c r="AD11" s="154"/>
      <c r="AE11" s="13"/>
    </row>
    <row r="12" spans="2:31" ht="14.25">
      <c r="B12" s="100"/>
      <c r="C12" s="97" t="str">
        <f>'原材料'!B10</f>
        <v>　Fe-Si</v>
      </c>
      <c r="D12" s="133">
        <f>R16/'原材料'!D10/'原材料'!I10*10000</f>
        <v>0.8825000000000002</v>
      </c>
      <c r="E12" s="13"/>
      <c r="F12" s="40" t="s">
        <v>103</v>
      </c>
      <c r="G12" s="34"/>
      <c r="H12" s="34"/>
      <c r="J12" s="101" t="str">
        <f>'原材料'!H5</f>
        <v>　Ｃｕ</v>
      </c>
      <c r="K12" s="136">
        <f>V11</f>
        <v>0.01</v>
      </c>
      <c r="L12" s="139">
        <f>K12</f>
        <v>0.01</v>
      </c>
      <c r="M12" s="194">
        <v>0.4</v>
      </c>
      <c r="N12" s="13"/>
      <c r="P12" s="147" t="str">
        <f>C14</f>
        <v>　Fe-Si</v>
      </c>
      <c r="Q12" s="143"/>
      <c r="R12" s="151">
        <f>D14*'原材料'!D15*'原材料'!I15/10000</f>
        <v>0</v>
      </c>
      <c r="S12" s="143"/>
      <c r="T12" s="143"/>
      <c r="U12" s="143"/>
      <c r="V12" s="143"/>
      <c r="W12" s="11"/>
      <c r="X12" s="101" t="s">
        <v>104</v>
      </c>
      <c r="Y12" s="106">
        <f>1374.2+0.2668*Y11</f>
        <v>1454.24</v>
      </c>
      <c r="Z12" s="107">
        <f>1374.2+0.2668*Z11</f>
        <v>1454.24</v>
      </c>
      <c r="AA12" s="155" t="s">
        <v>105</v>
      </c>
      <c r="AB12" s="157"/>
      <c r="AC12" s="157"/>
      <c r="AD12" s="157"/>
      <c r="AE12" s="13"/>
    </row>
    <row r="13" spans="2:31" ht="14.25">
      <c r="B13" s="100"/>
      <c r="C13" s="101" t="str">
        <f>'原材料'!B11</f>
        <v>　Fe-Mn</v>
      </c>
      <c r="D13" s="135">
        <f>S16/'原材料'!E11/'原材料'!J11*10000</f>
        <v>0.20533333333333348</v>
      </c>
      <c r="E13" s="13"/>
      <c r="F13" s="40" t="s">
        <v>106</v>
      </c>
      <c r="G13" s="34"/>
      <c r="H13" s="34"/>
      <c r="J13" s="104" t="s">
        <v>107</v>
      </c>
      <c r="K13" s="140">
        <f>K7+K8/3</f>
        <v>3.8986199999999998</v>
      </c>
      <c r="L13" s="141">
        <f>L7+L8/3</f>
        <v>4.07512</v>
      </c>
      <c r="M13" s="141">
        <f>M7+M8/3</f>
        <v>4.14262</v>
      </c>
      <c r="N13" s="13"/>
      <c r="P13" s="102" t="str">
        <f>C15</f>
        <v>　接種剤</v>
      </c>
      <c r="Q13" s="145"/>
      <c r="R13" s="109">
        <f>D15*'原材料'!D16*'原材料'!I16/10000</f>
        <v>0.2025</v>
      </c>
      <c r="S13" s="145"/>
      <c r="T13" s="145"/>
      <c r="U13" s="145"/>
      <c r="V13" s="145"/>
      <c r="W13" s="11"/>
      <c r="X13" s="101" t="s">
        <v>108</v>
      </c>
      <c r="Y13" s="106" t="s">
        <v>109</v>
      </c>
      <c r="Z13" s="107">
        <f>Z12-Y12</f>
        <v>0</v>
      </c>
      <c r="AA13" s="158" t="s">
        <v>110</v>
      </c>
      <c r="AB13" s="128"/>
      <c r="AC13" s="128"/>
      <c r="AD13" s="129"/>
      <c r="AE13" s="13"/>
    </row>
    <row r="14" spans="2:31" ht="14.25">
      <c r="B14" s="97" t="s">
        <v>49</v>
      </c>
      <c r="C14" s="97" t="s">
        <v>35</v>
      </c>
      <c r="D14" s="189">
        <v>0</v>
      </c>
      <c r="E14" s="13"/>
      <c r="F14" s="40" t="s">
        <v>111</v>
      </c>
      <c r="G14" s="34"/>
      <c r="H14" s="34"/>
      <c r="J14" s="101" t="s">
        <v>112</v>
      </c>
      <c r="K14" s="136">
        <f>K7/(4.23-K8/3.2)</f>
        <v>0.9092383702277831</v>
      </c>
      <c r="L14" s="139">
        <f>L7/(4.23-L8/3.2)</f>
        <v>0.949565188256481</v>
      </c>
      <c r="M14" s="139">
        <f>M7/(4.23-M8/3.2)</f>
        <v>0.965949556918882</v>
      </c>
      <c r="N14" s="13"/>
      <c r="P14" s="102" t="str">
        <f>C16</f>
        <v>　　Ｃｕ</v>
      </c>
      <c r="Q14" s="145"/>
      <c r="R14" s="109"/>
      <c r="S14" s="145"/>
      <c r="T14" s="145"/>
      <c r="U14" s="145"/>
      <c r="V14" s="110"/>
      <c r="W14" s="11"/>
      <c r="X14" s="101" t="s">
        <v>113</v>
      </c>
      <c r="Y14" s="106" t="s">
        <v>109</v>
      </c>
      <c r="Z14" s="107">
        <f>Z9+Z13</f>
        <v>1550</v>
      </c>
      <c r="AA14" s="158" t="s">
        <v>114</v>
      </c>
      <c r="AB14" s="128"/>
      <c r="AC14" s="128"/>
      <c r="AD14" s="129"/>
      <c r="AE14" s="13"/>
    </row>
    <row r="15" spans="2:31" ht="14.25">
      <c r="B15" s="100"/>
      <c r="C15" s="101" t="s">
        <v>52</v>
      </c>
      <c r="D15" s="192">
        <v>0.3</v>
      </c>
      <c r="E15" s="13"/>
      <c r="J15" s="104" t="s">
        <v>115</v>
      </c>
      <c r="K15" s="142"/>
      <c r="L15" s="143"/>
      <c r="M15" s="203">
        <v>100</v>
      </c>
      <c r="N15" s="13"/>
      <c r="P15" s="147" t="s">
        <v>116</v>
      </c>
      <c r="Q15" s="148"/>
      <c r="R15" s="151">
        <f>M8-R12-R13</f>
        <v>1.5975000000000001</v>
      </c>
      <c r="S15" s="151">
        <f>M9</f>
        <v>0.5</v>
      </c>
      <c r="T15" s="143"/>
      <c r="U15" s="143"/>
      <c r="V15" s="143"/>
      <c r="W15" s="11"/>
      <c r="X15" s="97" t="s">
        <v>117</v>
      </c>
      <c r="Y15" s="98"/>
      <c r="Z15" s="162">
        <f>(27.25+0.197005*Z14)*1000</f>
        <v>332607.75</v>
      </c>
      <c r="AA15" s="160" t="s">
        <v>118</v>
      </c>
      <c r="AB15" s="161"/>
      <c r="AC15" s="161"/>
      <c r="AD15" s="161"/>
      <c r="AE15" s="13"/>
    </row>
    <row r="16" spans="2:31" ht="14.25">
      <c r="B16" s="100"/>
      <c r="C16" s="101" t="s">
        <v>54</v>
      </c>
      <c r="D16" s="136">
        <f>V16/'原材料'!H17*100</f>
        <v>0.4105263157894737</v>
      </c>
      <c r="E16" s="13"/>
      <c r="F16" s="97" t="s">
        <v>119</v>
      </c>
      <c r="G16" s="130"/>
      <c r="H16" s="189">
        <v>0.7</v>
      </c>
      <c r="I16" s="13"/>
      <c r="J16" s="101" t="s">
        <v>120</v>
      </c>
      <c r="K16" s="144"/>
      <c r="L16" s="145"/>
      <c r="M16" s="193">
        <v>1</v>
      </c>
      <c r="N16" s="13"/>
      <c r="P16" s="102" t="s">
        <v>121</v>
      </c>
      <c r="Q16" s="124"/>
      <c r="R16" s="109">
        <f>R15-R11</f>
        <v>0.5295000000000001</v>
      </c>
      <c r="S16" s="109">
        <f>S15-S11</f>
        <v>0.12320000000000009</v>
      </c>
      <c r="T16" s="145"/>
      <c r="U16" s="145"/>
      <c r="V16" s="110">
        <f>M12-V11</f>
        <v>0.39</v>
      </c>
      <c r="W16" s="11"/>
      <c r="X16" s="101" t="s">
        <v>122</v>
      </c>
      <c r="Y16" s="125"/>
      <c r="Z16" s="150">
        <f>1000*H9/100*8000</f>
        <v>1040000</v>
      </c>
      <c r="AA16" s="158" t="s">
        <v>123</v>
      </c>
      <c r="AB16" s="129"/>
      <c r="AC16" s="129"/>
      <c r="AD16" s="129"/>
      <c r="AE16" s="13"/>
    </row>
    <row r="17" spans="2:31" ht="14.25">
      <c r="B17" s="29"/>
      <c r="C17" s="29"/>
      <c r="D17" s="29"/>
      <c r="F17" s="101" t="s">
        <v>124</v>
      </c>
      <c r="G17" s="131"/>
      <c r="H17" s="202">
        <v>300</v>
      </c>
      <c r="I17" s="173"/>
      <c r="J17" s="15" t="s">
        <v>125</v>
      </c>
      <c r="K17" s="142"/>
      <c r="L17" s="143"/>
      <c r="M17" s="41">
        <f>(102-82.5*M14)*9.8*M15/100</f>
        <v>218.629783231084</v>
      </c>
      <c r="N17" s="13"/>
      <c r="P17" s="6"/>
      <c r="Q17" s="6"/>
      <c r="R17" s="6"/>
      <c r="S17" s="6"/>
      <c r="T17" s="6"/>
      <c r="U17" s="6"/>
      <c r="V17" s="6"/>
      <c r="X17" s="101" t="s">
        <v>126</v>
      </c>
      <c r="Y17" s="125"/>
      <c r="Z17" s="163">
        <f>Z15/Z16*100</f>
        <v>31.981514423076923</v>
      </c>
      <c r="AA17" s="144"/>
      <c r="AB17" s="129"/>
      <c r="AC17" s="129"/>
      <c r="AD17" s="129"/>
      <c r="AE17" s="13"/>
    </row>
    <row r="18" spans="2:30" ht="14.25">
      <c r="B18" s="97" t="s">
        <v>127</v>
      </c>
      <c r="C18" s="96"/>
      <c r="D18" s="201">
        <v>300</v>
      </c>
      <c r="E18" s="13"/>
      <c r="F18" s="97" t="s">
        <v>128</v>
      </c>
      <c r="G18" s="98"/>
      <c r="H18" s="138">
        <f>AD39</f>
        <v>39.54202</v>
      </c>
      <c r="I18" s="173"/>
      <c r="J18" s="12" t="s">
        <v>129</v>
      </c>
      <c r="K18" s="144"/>
      <c r="L18" s="145"/>
      <c r="M18" s="146">
        <f>(100+4.3*M17/9.8)*M16</f>
        <v>195.92939468302663</v>
      </c>
      <c r="N18" s="13"/>
      <c r="X18" s="29"/>
      <c r="Y18" s="37" t="s">
        <v>130</v>
      </c>
      <c r="Z18" s="38"/>
      <c r="AA18" s="38"/>
      <c r="AB18" s="38"/>
      <c r="AC18" s="29"/>
      <c r="AD18" s="29"/>
    </row>
    <row r="19" spans="2:30" ht="14.25" customHeight="1">
      <c r="B19" s="29"/>
      <c r="C19" s="29"/>
      <c r="D19" s="29"/>
      <c r="F19" s="29"/>
      <c r="G19" s="29"/>
      <c r="H19" s="29"/>
      <c r="J19" s="29"/>
      <c r="K19" s="29"/>
      <c r="L19" s="29"/>
      <c r="M19" s="29"/>
      <c r="P19" t="s">
        <v>131</v>
      </c>
      <c r="R19" t="s">
        <v>132</v>
      </c>
      <c r="Y19" s="30" t="s">
        <v>133</v>
      </c>
      <c r="AC19" s="7" t="s">
        <v>134</v>
      </c>
      <c r="AD19" s="8"/>
    </row>
    <row r="20" spans="2:31" ht="14.25">
      <c r="B20" s="175" t="s">
        <v>135</v>
      </c>
      <c r="C20" s="176"/>
      <c r="D20" s="176"/>
      <c r="E20" s="176"/>
      <c r="F20" s="176"/>
      <c r="G20" s="176"/>
      <c r="H20" s="8"/>
      <c r="J20" s="174" t="s">
        <v>136</v>
      </c>
      <c r="K20" s="174"/>
      <c r="L20" s="174"/>
      <c r="M20" s="174"/>
      <c r="P20" t="s">
        <v>137</v>
      </c>
      <c r="R20" t="s">
        <v>138</v>
      </c>
      <c r="Y20" s="102" t="s">
        <v>82</v>
      </c>
      <c r="Z20" s="102" t="s">
        <v>139</v>
      </c>
      <c r="AA20" s="102" t="s">
        <v>140</v>
      </c>
      <c r="AB20" s="11"/>
      <c r="AC20" t="s">
        <v>141</v>
      </c>
      <c r="AD20" s="42">
        <f>Y5</f>
        <v>11.7</v>
      </c>
      <c r="AE20" t="s">
        <v>142</v>
      </c>
    </row>
    <row r="21" spans="2:32" ht="14.25">
      <c r="B21" s="175" t="s">
        <v>143</v>
      </c>
      <c r="C21" s="176"/>
      <c r="D21" s="176"/>
      <c r="E21" s="176"/>
      <c r="F21" s="176"/>
      <c r="G21" s="176"/>
      <c r="H21" s="8"/>
      <c r="J21" s="174" t="s">
        <v>144</v>
      </c>
      <c r="K21" s="174"/>
      <c r="L21" s="174"/>
      <c r="M21" s="174"/>
      <c r="P21" s="30" t="s">
        <v>145</v>
      </c>
      <c r="R21" s="30" t="s">
        <v>146</v>
      </c>
      <c r="X21" t="s">
        <v>147</v>
      </c>
      <c r="Y21" s="127" t="s">
        <v>148</v>
      </c>
      <c r="Z21" s="127" t="s">
        <v>149</v>
      </c>
      <c r="AA21" s="127" t="s">
        <v>150</v>
      </c>
      <c r="AB21" s="11"/>
      <c r="AC21" s="30" t="s">
        <v>151</v>
      </c>
      <c r="AD21" s="109">
        <f>VLOOKUP(AD20,Y20:AA42,2)</f>
        <v>6.8</v>
      </c>
      <c r="AE21" s="43" t="s">
        <v>149</v>
      </c>
      <c r="AF21" s="30" t="s">
        <v>152</v>
      </c>
    </row>
    <row r="22" spans="2:31" ht="12" customHeight="1">
      <c r="B22" s="170" t="s">
        <v>153</v>
      </c>
      <c r="C22" s="171"/>
      <c r="D22" s="171"/>
      <c r="E22" s="171"/>
      <c r="F22" s="171"/>
      <c r="G22" s="171"/>
      <c r="H22" s="171"/>
      <c r="I22" s="172"/>
      <c r="J22" s="174" t="s">
        <v>154</v>
      </c>
      <c r="K22" s="174"/>
      <c r="L22" s="174"/>
      <c r="M22" s="174"/>
      <c r="P22" s="27" t="s">
        <v>155</v>
      </c>
      <c r="Q22" s="28"/>
      <c r="R22" s="28"/>
      <c r="S22" s="28"/>
      <c r="T22" s="28"/>
      <c r="U22" s="28"/>
      <c r="X22" s="30" t="s">
        <v>156</v>
      </c>
      <c r="Y22" s="107">
        <v>8</v>
      </c>
      <c r="Z22" s="109">
        <v>8.5</v>
      </c>
      <c r="AA22" s="107">
        <v>100</v>
      </c>
      <c r="AB22" s="11"/>
      <c r="AC22" t="s">
        <v>157</v>
      </c>
      <c r="AD22" s="109">
        <f>H16</f>
        <v>0.7</v>
      </c>
      <c r="AE22" s="4" t="s">
        <v>158</v>
      </c>
    </row>
    <row r="23" spans="10:31" ht="12" customHeight="1">
      <c r="J23" s="174" t="s">
        <v>159</v>
      </c>
      <c r="K23" s="174"/>
      <c r="L23" s="174"/>
      <c r="M23" s="174"/>
      <c r="P23" t="s">
        <v>160</v>
      </c>
      <c r="X23" s="30" t="s">
        <v>161</v>
      </c>
      <c r="Y23" s="107">
        <v>8.5</v>
      </c>
      <c r="Z23" s="109">
        <v>8.25</v>
      </c>
      <c r="AA23" s="107">
        <v>100.5</v>
      </c>
      <c r="AB23" s="11"/>
      <c r="AC23" s="30" t="s">
        <v>162</v>
      </c>
      <c r="AD23" s="110">
        <f>AD22*AD22*3.14/4</f>
        <v>0.38465</v>
      </c>
      <c r="AE23" s="4" t="s">
        <v>163</v>
      </c>
    </row>
    <row r="24" spans="10:31" ht="14.25">
      <c r="J24" s="174" t="s">
        <v>164</v>
      </c>
      <c r="K24" s="174"/>
      <c r="L24" s="174"/>
      <c r="M24" s="174"/>
      <c r="X24" t="s">
        <v>165</v>
      </c>
      <c r="Y24" s="107">
        <v>9</v>
      </c>
      <c r="Z24" s="109">
        <v>8</v>
      </c>
      <c r="AA24" s="107">
        <v>101</v>
      </c>
      <c r="AB24" s="11"/>
      <c r="AC24" s="30" t="s">
        <v>151</v>
      </c>
      <c r="AD24" s="164">
        <f>AD21*AD23</f>
        <v>2.61562</v>
      </c>
      <c r="AE24" s="4" t="s">
        <v>166</v>
      </c>
    </row>
    <row r="25" spans="24:31" ht="14.25">
      <c r="X25" t="s">
        <v>167</v>
      </c>
      <c r="Y25" s="107">
        <v>9.5</v>
      </c>
      <c r="Z25" s="109">
        <v>7.75</v>
      </c>
      <c r="AA25" s="107">
        <v>101.5</v>
      </c>
      <c r="AB25" s="11"/>
      <c r="AC25" t="s">
        <v>168</v>
      </c>
      <c r="AD25" s="109">
        <f>G10</f>
        <v>3</v>
      </c>
      <c r="AE25" s="4" t="s">
        <v>169</v>
      </c>
    </row>
    <row r="26" spans="25:31" ht="14.25">
      <c r="Y26" s="107">
        <v>10</v>
      </c>
      <c r="Z26" s="109">
        <v>7.5</v>
      </c>
      <c r="AA26" s="107">
        <v>102</v>
      </c>
      <c r="AB26" s="11"/>
      <c r="AC26" s="30" t="s">
        <v>171</v>
      </c>
      <c r="AD26" s="44">
        <f>AD25-AD24</f>
        <v>0.38438000000000017</v>
      </c>
      <c r="AE26" s="4" t="s">
        <v>166</v>
      </c>
    </row>
    <row r="27" spans="25:30" ht="14.25">
      <c r="Y27" s="107">
        <v>10.5</v>
      </c>
      <c r="Z27" s="109">
        <v>7.25</v>
      </c>
      <c r="AA27" s="107">
        <v>102.3</v>
      </c>
      <c r="AB27" s="11"/>
      <c r="AD27" s="6"/>
    </row>
    <row r="28" spans="25:28" ht="14.25">
      <c r="Y28" s="107">
        <v>11</v>
      </c>
      <c r="Z28" s="109">
        <v>7</v>
      </c>
      <c r="AA28" s="107">
        <v>102.5</v>
      </c>
      <c r="AB28" s="11"/>
    </row>
    <row r="29" spans="25:31" ht="14.25">
      <c r="Y29" s="107">
        <v>11.5</v>
      </c>
      <c r="Z29" s="109">
        <v>6.8</v>
      </c>
      <c r="AA29" s="107">
        <v>102.8</v>
      </c>
      <c r="AB29" s="11"/>
      <c r="AC29" s="30" t="s">
        <v>175</v>
      </c>
      <c r="AD29" s="42">
        <f>Z5</f>
        <v>11.7</v>
      </c>
      <c r="AE29" t="s">
        <v>142</v>
      </c>
    </row>
    <row r="30" spans="25:32" ht="14.25">
      <c r="Y30" s="107">
        <v>12</v>
      </c>
      <c r="Z30" s="109">
        <v>6.6</v>
      </c>
      <c r="AA30" s="107">
        <v>103</v>
      </c>
      <c r="AB30" s="11"/>
      <c r="AC30" s="30" t="s">
        <v>151</v>
      </c>
      <c r="AD30" s="109">
        <f>VLOOKUP(AD29,Y20:AA42,2)</f>
        <v>6.8</v>
      </c>
      <c r="AE30" s="43" t="s">
        <v>149</v>
      </c>
      <c r="AF30" s="30" t="s">
        <v>152</v>
      </c>
    </row>
    <row r="31" spans="25:31" ht="14.25">
      <c r="Y31" s="107">
        <v>12.5</v>
      </c>
      <c r="Z31" s="109">
        <v>6.5</v>
      </c>
      <c r="AA31" s="107">
        <v>103.2</v>
      </c>
      <c r="AB31" s="11"/>
      <c r="AC31" s="30" t="s">
        <v>178</v>
      </c>
      <c r="AD31" s="139">
        <f>AD23</f>
        <v>0.38465</v>
      </c>
      <c r="AE31" s="4" t="s">
        <v>163</v>
      </c>
    </row>
    <row r="32" spans="25:31" ht="14.25">
      <c r="Y32" s="107">
        <v>13</v>
      </c>
      <c r="Z32" s="109">
        <v>6.35</v>
      </c>
      <c r="AA32" s="107">
        <v>103.5</v>
      </c>
      <c r="AB32" s="11"/>
      <c r="AC32" s="30" t="s">
        <v>151</v>
      </c>
      <c r="AD32" s="109">
        <f>AD30*AD31</f>
        <v>2.61562</v>
      </c>
      <c r="AE32" s="4" t="s">
        <v>180</v>
      </c>
    </row>
    <row r="33" spans="25:31" ht="14.25">
      <c r="Y33" s="107">
        <v>13.5</v>
      </c>
      <c r="Z33" s="109">
        <v>6.25</v>
      </c>
      <c r="AA33" s="107">
        <v>103.8</v>
      </c>
      <c r="AB33" s="11"/>
      <c r="AC33" t="s">
        <v>182</v>
      </c>
      <c r="AD33" s="149">
        <f>AD32+AD26</f>
        <v>3</v>
      </c>
      <c r="AE33" s="4" t="s">
        <v>166</v>
      </c>
    </row>
    <row r="34" spans="25:30" ht="14.25">
      <c r="Y34" s="107">
        <v>14</v>
      </c>
      <c r="Z34" s="109">
        <v>6.2</v>
      </c>
      <c r="AA34" s="107">
        <v>104</v>
      </c>
      <c r="AB34" s="11"/>
      <c r="AD34" s="6"/>
    </row>
    <row r="35" spans="3:28" ht="14.25">
      <c r="C35" s="7" t="s">
        <v>42</v>
      </c>
      <c r="Y35" s="107">
        <v>14.5</v>
      </c>
      <c r="Z35" s="109">
        <v>6.1</v>
      </c>
      <c r="AA35" s="107">
        <v>104.5</v>
      </c>
      <c r="AB35" s="11"/>
    </row>
    <row r="36" spans="25:31" ht="14.25">
      <c r="Y36" s="107">
        <v>15</v>
      </c>
      <c r="Z36" s="109">
        <v>6</v>
      </c>
      <c r="AA36" s="107">
        <v>105.3</v>
      </c>
      <c r="AB36" s="11"/>
      <c r="AC36" s="7" t="s">
        <v>185</v>
      </c>
      <c r="AD36" s="7"/>
      <c r="AE36" s="7"/>
    </row>
    <row r="37" spans="3:31" ht="14.25">
      <c r="C37" s="7" t="s">
        <v>170</v>
      </c>
      <c r="Y37" s="107">
        <v>15.5</v>
      </c>
      <c r="Z37" s="109">
        <v>5.9</v>
      </c>
      <c r="AA37" s="107">
        <v>106</v>
      </c>
      <c r="AB37" s="11"/>
      <c r="AC37" s="30" t="s">
        <v>187</v>
      </c>
      <c r="AD37" s="107">
        <f>VLOOKUP(AD29,Y20:AA42,3)</f>
        <v>102.8</v>
      </c>
      <c r="AE37" s="43" t="s">
        <v>188</v>
      </c>
    </row>
    <row r="38" spans="3:31" ht="14.25">
      <c r="C38" s="30" t="s">
        <v>172</v>
      </c>
      <c r="Y38" s="107">
        <v>16</v>
      </c>
      <c r="Z38" s="109">
        <v>5.8</v>
      </c>
      <c r="AA38" s="107">
        <v>107</v>
      </c>
      <c r="AB38" s="11"/>
      <c r="AC38" s="30" t="s">
        <v>190</v>
      </c>
      <c r="AD38" s="139">
        <f>AD23</f>
        <v>0.38465</v>
      </c>
      <c r="AE38" s="4" t="s">
        <v>163</v>
      </c>
    </row>
    <row r="39" spans="3:31" ht="14.25">
      <c r="C39" s="30" t="s">
        <v>173</v>
      </c>
      <c r="Y39" s="107">
        <v>16.5</v>
      </c>
      <c r="Z39" s="109">
        <v>5.75</v>
      </c>
      <c r="AA39" s="107">
        <v>108.2</v>
      </c>
      <c r="AB39" s="11"/>
      <c r="AC39" s="30" t="s">
        <v>192</v>
      </c>
      <c r="AD39" s="110">
        <f>AD37*AD31</f>
        <v>39.54202</v>
      </c>
      <c r="AE39" s="4" t="s">
        <v>193</v>
      </c>
    </row>
    <row r="40" spans="3:30" ht="14.25">
      <c r="C40" s="30" t="s">
        <v>174</v>
      </c>
      <c r="Y40" s="107">
        <v>17</v>
      </c>
      <c r="Z40" s="109">
        <v>5.73</v>
      </c>
      <c r="AA40" s="107">
        <v>109.2</v>
      </c>
      <c r="AB40" s="11"/>
      <c r="AC40" s="30" t="s">
        <v>195</v>
      </c>
      <c r="AD40" s="6"/>
    </row>
    <row r="41" spans="3:28" ht="14.25">
      <c r="C41" s="30" t="s">
        <v>176</v>
      </c>
      <c r="Y41" s="107">
        <v>17.5</v>
      </c>
      <c r="Z41" s="109">
        <v>5.72</v>
      </c>
      <c r="AA41" s="107">
        <v>110.3</v>
      </c>
      <c r="AB41" s="11"/>
    </row>
    <row r="42" spans="3:28" ht="14.25">
      <c r="C42" s="7" t="s">
        <v>177</v>
      </c>
      <c r="Y42" s="107">
        <v>18</v>
      </c>
      <c r="Z42" s="109">
        <v>5.7</v>
      </c>
      <c r="AA42" s="107">
        <v>112</v>
      </c>
      <c r="AB42" s="11"/>
    </row>
    <row r="43" spans="3:27" ht="14.25">
      <c r="C43" s="27" t="s">
        <v>179</v>
      </c>
      <c r="D43" s="28"/>
      <c r="E43" s="28"/>
      <c r="F43" s="28"/>
      <c r="G43" s="28"/>
      <c r="H43" s="28"/>
      <c r="I43" s="28"/>
      <c r="J43" s="28"/>
      <c r="K43" s="28"/>
      <c r="L43" s="28"/>
      <c r="M43" s="28"/>
      <c r="N43" s="28"/>
      <c r="Y43" s="6"/>
      <c r="Z43" s="6"/>
      <c r="AA43" s="6"/>
    </row>
    <row r="44" spans="5:8" ht="14.25">
      <c r="E44" s="27" t="s">
        <v>181</v>
      </c>
      <c r="F44" s="28"/>
      <c r="G44" s="28"/>
      <c r="H44" s="28"/>
    </row>
    <row r="45" spans="3:9" ht="14.25">
      <c r="C45" s="45" t="s">
        <v>183</v>
      </c>
      <c r="E45" s="181" t="s">
        <v>92</v>
      </c>
      <c r="F45" s="184"/>
      <c r="G45" s="182"/>
      <c r="H45" s="185"/>
      <c r="I45" s="180"/>
    </row>
    <row r="46" spans="4:8" ht="14.25">
      <c r="D46" t="s">
        <v>184</v>
      </c>
      <c r="E46" s="180"/>
      <c r="F46" s="180"/>
      <c r="G46" s="180"/>
      <c r="H46" s="180"/>
    </row>
    <row r="48" spans="3:14" ht="14.25">
      <c r="C48" s="27" t="s">
        <v>186</v>
      </c>
      <c r="D48" s="28"/>
      <c r="E48" s="28"/>
      <c r="F48" s="28"/>
      <c r="G48" s="28"/>
      <c r="H48" s="28"/>
      <c r="I48" s="28"/>
      <c r="J48" s="28"/>
      <c r="K48" s="28"/>
      <c r="L48" s="28"/>
      <c r="M48" s="28"/>
      <c r="N48" s="28"/>
    </row>
    <row r="49" spans="3:14" ht="14.25">
      <c r="C49" s="28"/>
      <c r="D49" s="28"/>
      <c r="E49" s="28"/>
      <c r="F49" s="27" t="s">
        <v>189</v>
      </c>
      <c r="G49" s="28"/>
      <c r="H49" s="28"/>
      <c r="I49" s="28"/>
      <c r="J49" s="28"/>
      <c r="K49" s="28"/>
      <c r="L49" s="28"/>
      <c r="M49" s="28"/>
      <c r="N49" s="28"/>
    </row>
    <row r="50" spans="3:14" ht="14.25">
      <c r="C50" s="28"/>
      <c r="D50" s="28"/>
      <c r="E50" s="28"/>
      <c r="F50" s="27" t="s">
        <v>191</v>
      </c>
      <c r="G50" s="28"/>
      <c r="H50" s="28"/>
      <c r="I50" s="28"/>
      <c r="J50" s="28"/>
      <c r="K50" s="28"/>
      <c r="L50" s="28"/>
      <c r="M50" s="28"/>
      <c r="N50" s="28"/>
    </row>
    <row r="51" spans="3:9" ht="14.25">
      <c r="C51" s="45" t="s">
        <v>194</v>
      </c>
      <c r="E51" s="181" t="s">
        <v>105</v>
      </c>
      <c r="F51" s="182"/>
      <c r="G51" s="182"/>
      <c r="H51" s="183"/>
      <c r="I51" s="180"/>
    </row>
    <row r="52" spans="4:8" ht="14.25">
      <c r="D52" t="s">
        <v>196</v>
      </c>
      <c r="E52" s="180"/>
      <c r="F52" s="180"/>
      <c r="G52" s="180"/>
      <c r="H52" s="180"/>
    </row>
    <row r="53" ht="14.25">
      <c r="D53" t="s">
        <v>197</v>
      </c>
    </row>
    <row r="55" spans="3:14" ht="14.25">
      <c r="C55" s="27" t="s">
        <v>198</v>
      </c>
      <c r="D55" s="28"/>
      <c r="E55" s="28"/>
      <c r="F55" s="28"/>
      <c r="G55" s="28"/>
      <c r="H55" s="28"/>
      <c r="I55" s="28"/>
      <c r="J55" s="28"/>
      <c r="K55" s="28"/>
      <c r="L55" s="28"/>
      <c r="M55" s="28"/>
      <c r="N55" s="28"/>
    </row>
    <row r="56" spans="3:14" ht="14.25">
      <c r="C56" s="28"/>
      <c r="D56" s="27" t="s">
        <v>199</v>
      </c>
      <c r="E56" s="28"/>
      <c r="F56" s="28"/>
      <c r="G56" s="28"/>
      <c r="H56" s="28"/>
      <c r="I56" s="28"/>
      <c r="J56" s="28"/>
      <c r="K56" s="28"/>
      <c r="L56" s="28"/>
      <c r="M56" s="28"/>
      <c r="N56" s="28"/>
    </row>
    <row r="57" spans="3:9" ht="14.25">
      <c r="C57" t="s">
        <v>200</v>
      </c>
      <c r="E57" s="181" t="s">
        <v>118</v>
      </c>
      <c r="F57" s="182"/>
      <c r="G57" s="182"/>
      <c r="H57" s="183"/>
      <c r="I57" s="180"/>
    </row>
  </sheetData>
  <sheetProtection sheet="1" objects="1" scenarios="1"/>
  <printOptions/>
  <pageMargins left="0.5" right="0.5" top="0.5" bottom="0.5"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N27"/>
  <sheetViews>
    <sheetView showGridLines="0" showOutlineSymbols="0" workbookViewId="0" topLeftCell="A1">
      <selection activeCell="F9" sqref="F9"/>
    </sheetView>
  </sheetViews>
  <sheetFormatPr defaultColWidth="9.00390625" defaultRowHeight="14.25"/>
  <cols>
    <col min="1" max="1" width="11.875" style="0" customWidth="1"/>
    <col min="2" max="2" width="10.875" style="0" customWidth="1"/>
    <col min="3" max="3" width="6.75390625" style="0" customWidth="1"/>
    <col min="4" max="4" width="7.125" style="0" customWidth="1"/>
    <col min="5" max="6" width="6.75390625" style="0" customWidth="1"/>
    <col min="7" max="7" width="7.375" style="0" customWidth="1"/>
    <col min="8" max="10" width="6.75390625" style="0" customWidth="1"/>
    <col min="11" max="11" width="9.50390625" style="0" customWidth="1"/>
    <col min="12" max="12" width="8.375" style="0" customWidth="1"/>
    <col min="13" max="13" width="8.25390625" style="0" customWidth="1"/>
    <col min="14" max="16384" width="10.75390625" style="0" customWidth="1"/>
  </cols>
  <sheetData>
    <row r="1" spans="1:13" ht="21">
      <c r="A1" s="46"/>
      <c r="C1" s="47" t="s">
        <v>201</v>
      </c>
      <c r="D1" s="48"/>
      <c r="E1" s="49"/>
      <c r="F1" s="8"/>
      <c r="L1" s="166" t="s">
        <v>250</v>
      </c>
      <c r="M1" s="8"/>
    </row>
    <row r="2" spans="10:11" ht="14.25">
      <c r="J2" t="s">
        <v>202</v>
      </c>
      <c r="K2" s="46">
        <f>DATE(98,2,24)</f>
        <v>35850</v>
      </c>
    </row>
    <row r="3" spans="1:14" ht="14.25">
      <c r="A3" s="50"/>
      <c r="B3" s="29"/>
      <c r="C3" s="51" t="s">
        <v>203</v>
      </c>
      <c r="D3" s="52" t="s">
        <v>204</v>
      </c>
      <c r="E3" s="50"/>
      <c r="F3" s="39" t="s">
        <v>205</v>
      </c>
      <c r="G3" s="29"/>
      <c r="H3" s="29"/>
      <c r="I3" s="29"/>
      <c r="J3" s="29"/>
      <c r="K3" s="51" t="s">
        <v>206</v>
      </c>
      <c r="L3" s="53" t="s">
        <v>207</v>
      </c>
      <c r="M3" s="29"/>
      <c r="N3" s="13"/>
    </row>
    <row r="4" spans="1:14" ht="14.25">
      <c r="A4" s="13"/>
      <c r="C4" s="31" t="s">
        <v>208</v>
      </c>
      <c r="D4" s="4" t="s">
        <v>209</v>
      </c>
      <c r="E4" s="54" t="str">
        <f>'原材料'!C5</f>
        <v>　Ｃ</v>
      </c>
      <c r="F4" s="55" t="str">
        <f>'原材料'!D5</f>
        <v>　Ｓｉ</v>
      </c>
      <c r="G4" s="55" t="str">
        <f>'原材料'!E5</f>
        <v>　Ｍｎ</v>
      </c>
      <c r="H4" s="55" t="str">
        <f>'原材料'!F5</f>
        <v>　Ｐ</v>
      </c>
      <c r="I4" s="55" t="str">
        <f>'原材料'!G5</f>
        <v>　Ｓ</v>
      </c>
      <c r="J4" s="55" t="str">
        <f>'原材料'!H5</f>
        <v>　Ｃｕ</v>
      </c>
      <c r="K4" s="31" t="s">
        <v>210</v>
      </c>
      <c r="L4" s="55" t="str">
        <f>F4</f>
        <v>　Ｓｉ</v>
      </c>
      <c r="M4" s="55" t="str">
        <f>G4</f>
        <v>　Ｍｎ</v>
      </c>
      <c r="N4" s="13"/>
    </row>
    <row r="5" spans="1:14" ht="14.25">
      <c r="A5" s="50"/>
      <c r="B5" s="52" t="str">
        <f>'原材料'!B6</f>
        <v>　Ｆ１-ＥＰ</v>
      </c>
      <c r="C5" s="56">
        <f>'配合計算'!D7</f>
        <v>50</v>
      </c>
      <c r="D5" s="57">
        <f>D9*C5/100</f>
        <v>150</v>
      </c>
      <c r="E5" s="58">
        <f>'原材料'!C6</f>
        <v>3.67</v>
      </c>
      <c r="F5" s="59">
        <f>'原材料'!D6</f>
        <v>1.87</v>
      </c>
      <c r="G5" s="59">
        <f>'原材料'!E6</f>
        <v>0.47</v>
      </c>
      <c r="H5" s="60">
        <f>'原材料'!F6</f>
        <v>0.02</v>
      </c>
      <c r="I5" s="60">
        <f>'原材料'!G6</f>
        <v>0.023</v>
      </c>
      <c r="J5" s="60">
        <f>'原材料'!H6</f>
        <v>0</v>
      </c>
      <c r="K5" s="58">
        <f>'原材料'!L6</f>
        <v>3.9</v>
      </c>
      <c r="L5" s="61">
        <f>'原材料'!I6</f>
        <v>80</v>
      </c>
      <c r="M5" s="61">
        <f>'原材料'!J6</f>
        <v>80</v>
      </c>
      <c r="N5" s="13"/>
    </row>
    <row r="6" spans="1:14" ht="14.25">
      <c r="A6" s="31" t="str">
        <f>'原材料'!A7</f>
        <v>　キュポラ</v>
      </c>
      <c r="B6" s="55" t="str">
        <f>'原材料'!B7</f>
        <v>　鋼屑</v>
      </c>
      <c r="C6" s="62">
        <f>'配合計算'!D8</f>
        <v>30</v>
      </c>
      <c r="D6" s="63">
        <f>D9*C6/100</f>
        <v>90</v>
      </c>
      <c r="E6" s="64">
        <f>'原材料'!C7</f>
        <v>0.1</v>
      </c>
      <c r="F6" s="65">
        <f>'原材料'!D7</f>
        <v>0.2</v>
      </c>
      <c r="G6" s="65">
        <f>'原材料'!E7</f>
        <v>0.5</v>
      </c>
      <c r="H6" s="66">
        <f>'原材料'!F7</f>
        <v>0.01</v>
      </c>
      <c r="I6" s="66">
        <f>'原材料'!G7</f>
        <v>0.01</v>
      </c>
      <c r="J6" s="66">
        <f>'原材料'!H7</f>
        <v>0.02</v>
      </c>
      <c r="K6" s="64">
        <f>'原材料'!L7</f>
        <v>2.8</v>
      </c>
      <c r="L6" s="67">
        <f>'原材料'!I7</f>
        <v>80</v>
      </c>
      <c r="M6" s="67">
        <f>'原材料'!J7</f>
        <v>80</v>
      </c>
      <c r="N6" s="13"/>
    </row>
    <row r="7" spans="1:14" ht="14.25">
      <c r="A7" s="31" t="str">
        <f>'原材料'!A8</f>
        <v>　　炉頂装入</v>
      </c>
      <c r="B7" s="55" t="str">
        <f>'原材料'!B8</f>
        <v>　戻り</v>
      </c>
      <c r="C7" s="62">
        <f>'配合計算'!D9</f>
        <v>20</v>
      </c>
      <c r="D7" s="63">
        <f>D9*C7/100</f>
        <v>60</v>
      </c>
      <c r="E7" s="64">
        <f>'原材料'!C8</f>
        <v>3.25</v>
      </c>
      <c r="F7" s="65">
        <f>'原材料'!D8</f>
        <v>1.7</v>
      </c>
      <c r="G7" s="65">
        <f>'原材料'!E8</f>
        <v>0.43</v>
      </c>
      <c r="H7" s="66">
        <f>'原材料'!F8</f>
        <v>0.072</v>
      </c>
      <c r="I7" s="66">
        <f>'原材料'!G8</f>
        <v>0.076</v>
      </c>
      <c r="J7" s="66">
        <f>'原材料'!H8</f>
        <v>0.02</v>
      </c>
      <c r="K7" s="64">
        <f>'原材料'!L8</f>
        <v>3.7630999999999997</v>
      </c>
      <c r="L7" s="67">
        <f>'原材料'!I8</f>
        <v>80</v>
      </c>
      <c r="M7" s="67">
        <f>'原材料'!J8</f>
        <v>80</v>
      </c>
      <c r="N7" s="13"/>
    </row>
    <row r="8" spans="1:14" ht="14.25">
      <c r="A8" s="31" t="str">
        <f>'原材料'!A9</f>
        <v>　　　材料</v>
      </c>
      <c r="B8" s="55" t="str">
        <f>'原材料'!B9</f>
        <v>　故銑</v>
      </c>
      <c r="C8" s="62">
        <f>'配合計算'!D10</f>
        <v>0</v>
      </c>
      <c r="D8" s="63">
        <f>D9*C8/100</f>
        <v>0</v>
      </c>
      <c r="E8" s="64">
        <f>'原材料'!C9</f>
        <v>3.25</v>
      </c>
      <c r="F8" s="65">
        <f>'原材料'!D9</f>
        <v>1.7</v>
      </c>
      <c r="G8" s="65">
        <f>'原材料'!E9</f>
        <v>0.43</v>
      </c>
      <c r="H8" s="66">
        <f>'原材料'!F9</f>
        <v>0.072</v>
      </c>
      <c r="I8" s="66">
        <f>'原材料'!G9</f>
        <v>0.076</v>
      </c>
      <c r="J8" s="66">
        <f>'原材料'!H9</f>
        <v>0.03</v>
      </c>
      <c r="K8" s="64">
        <f>'原材料'!L9</f>
        <v>3.7630999999999997</v>
      </c>
      <c r="L8" s="67">
        <f>'原材料'!I9</f>
        <v>80</v>
      </c>
      <c r="M8" s="67">
        <f>'原材料'!J9</f>
        <v>80</v>
      </c>
      <c r="N8" s="13"/>
    </row>
    <row r="9" spans="1:14" ht="14.25">
      <c r="A9" s="13"/>
      <c r="B9" s="68" t="s">
        <v>211</v>
      </c>
      <c r="C9" s="69">
        <f>'配合計算'!D11</f>
        <v>100</v>
      </c>
      <c r="D9" s="70">
        <f>'配合計算'!H17</f>
        <v>300</v>
      </c>
      <c r="E9" s="71"/>
      <c r="F9" s="72"/>
      <c r="G9" s="72"/>
      <c r="H9" s="72"/>
      <c r="I9" s="72"/>
      <c r="J9" s="72"/>
      <c r="K9" s="64"/>
      <c r="L9" s="72"/>
      <c r="M9" s="72"/>
      <c r="N9" s="13"/>
    </row>
    <row r="10" spans="1:14" ht="14.25">
      <c r="A10" s="31"/>
      <c r="B10" s="68" t="str">
        <f>'原材料'!B10</f>
        <v>　Fe-Si</v>
      </c>
      <c r="C10" s="73">
        <f>'配合計算'!D12</f>
        <v>0.8825000000000002</v>
      </c>
      <c r="D10" s="74">
        <f>D9*C10/100</f>
        <v>2.6475000000000004</v>
      </c>
      <c r="E10" s="75"/>
      <c r="F10" s="74">
        <f>'原材料'!D10</f>
        <v>75</v>
      </c>
      <c r="G10" s="74"/>
      <c r="H10" s="76"/>
      <c r="I10" s="76"/>
      <c r="J10" s="76"/>
      <c r="K10" s="77"/>
      <c r="L10" s="74">
        <f>'原材料'!I10</f>
        <v>80</v>
      </c>
      <c r="M10" s="74"/>
      <c r="N10" s="13"/>
    </row>
    <row r="11" spans="1:14" ht="14.25">
      <c r="A11" s="31"/>
      <c r="B11" s="55" t="str">
        <f>'原材料'!B11</f>
        <v>　Fe-Mn</v>
      </c>
      <c r="C11" s="64">
        <f>'配合計算'!D13</f>
        <v>0.20533333333333348</v>
      </c>
      <c r="D11" s="67">
        <f>D9*C11/100</f>
        <v>0.6160000000000004</v>
      </c>
      <c r="E11" s="62"/>
      <c r="F11" s="67"/>
      <c r="G11" s="67">
        <f>'原材料'!E11</f>
        <v>75</v>
      </c>
      <c r="H11" s="72"/>
      <c r="I11" s="72"/>
      <c r="J11" s="72"/>
      <c r="K11" s="71"/>
      <c r="L11" s="67"/>
      <c r="M11" s="67">
        <f>'原材料'!J11</f>
        <v>80</v>
      </c>
      <c r="N11" s="13"/>
    </row>
    <row r="12" spans="1:14" ht="14.25">
      <c r="A12" s="31"/>
      <c r="B12" s="55" t="str">
        <f>'原材料'!B12</f>
        <v>　ｺｰｸｽ</v>
      </c>
      <c r="C12" s="64">
        <f>'配合計算'!H9</f>
        <v>13</v>
      </c>
      <c r="D12" s="67">
        <f>D9*C12/100</f>
        <v>39</v>
      </c>
      <c r="E12" s="62">
        <f>'原材料'!C12</f>
        <v>90</v>
      </c>
      <c r="F12" s="67"/>
      <c r="G12" s="67"/>
      <c r="H12" s="72"/>
      <c r="I12" s="72"/>
      <c r="J12" s="72"/>
      <c r="K12" s="71"/>
      <c r="L12" s="67"/>
      <c r="M12" s="67"/>
      <c r="N12" s="13"/>
    </row>
    <row r="13" spans="1:14" ht="14.25">
      <c r="A13" s="31"/>
      <c r="B13" s="55" t="str">
        <f>'原材料'!B13</f>
        <v>　石灰石</v>
      </c>
      <c r="C13" s="64">
        <f>C12*0.2</f>
        <v>2.6</v>
      </c>
      <c r="D13" s="67">
        <f>D9*C13/100</f>
        <v>7.8</v>
      </c>
      <c r="E13" s="71"/>
      <c r="F13" s="72"/>
      <c r="G13" s="72"/>
      <c r="H13" s="72"/>
      <c r="I13" s="72"/>
      <c r="J13" s="72"/>
      <c r="K13" s="71"/>
      <c r="L13" s="67"/>
      <c r="M13" s="67"/>
      <c r="N13" s="13"/>
    </row>
    <row r="14" spans="1:14" ht="14.25">
      <c r="A14" s="69" t="str">
        <f>'原材料'!A15</f>
        <v>　鍋内添加</v>
      </c>
      <c r="B14" s="68" t="str">
        <f>'原材料'!B15</f>
        <v>　Fe-Si</v>
      </c>
      <c r="C14" s="73">
        <f>'配合計算'!D14</f>
        <v>0</v>
      </c>
      <c r="D14" s="78">
        <f>M16*C14/100</f>
        <v>0</v>
      </c>
      <c r="E14" s="79" t="s">
        <v>212</v>
      </c>
      <c r="F14" s="74">
        <f>'原材料'!D15</f>
        <v>75</v>
      </c>
      <c r="G14" s="74"/>
      <c r="H14" s="74"/>
      <c r="I14" s="74"/>
      <c r="J14" s="74"/>
      <c r="K14" s="77"/>
      <c r="L14" s="74">
        <f>'原材料'!I15</f>
        <v>90</v>
      </c>
      <c r="M14" s="80" t="s">
        <v>213</v>
      </c>
      <c r="N14" s="13"/>
    </row>
    <row r="15" spans="1:14" ht="14.25">
      <c r="A15" s="31"/>
      <c r="B15" s="55" t="str">
        <f>'原材料'!B16</f>
        <v>　接種剤</v>
      </c>
      <c r="C15" s="64">
        <f>'配合計算'!D15</f>
        <v>0.3</v>
      </c>
      <c r="D15" s="65">
        <f>M16*C15/100</f>
        <v>0.9</v>
      </c>
      <c r="E15" s="81" t="s">
        <v>212</v>
      </c>
      <c r="F15" s="67">
        <f>'原材料'!D16</f>
        <v>75</v>
      </c>
      <c r="G15" s="67"/>
      <c r="H15" s="67"/>
      <c r="I15" s="67"/>
      <c r="J15" s="67"/>
      <c r="K15" s="71"/>
      <c r="L15" s="67">
        <f>'原材料'!I16</f>
        <v>90</v>
      </c>
      <c r="M15" s="82" t="s">
        <v>214</v>
      </c>
      <c r="N15" s="13"/>
    </row>
    <row r="16" spans="1:14" ht="14.25">
      <c r="A16" s="31"/>
      <c r="B16" s="55" t="str">
        <f>'原材料'!B17</f>
        <v>　　Ｃｕ</v>
      </c>
      <c r="C16" s="64">
        <f>'配合計算'!D16</f>
        <v>0.4105263157894737</v>
      </c>
      <c r="D16" s="65">
        <f>M16*C16/100</f>
        <v>1.231578947368421</v>
      </c>
      <c r="E16" s="81" t="s">
        <v>212</v>
      </c>
      <c r="F16" s="67"/>
      <c r="G16" s="67"/>
      <c r="H16" s="67"/>
      <c r="I16" s="67"/>
      <c r="J16" s="67">
        <f>'原材料'!H17</f>
        <v>95</v>
      </c>
      <c r="K16" s="71"/>
      <c r="L16" s="72"/>
      <c r="M16" s="54">
        <f>'配合計算'!D18</f>
        <v>300</v>
      </c>
      <c r="N16" s="13"/>
    </row>
    <row r="17" spans="1:13" ht="14.25">
      <c r="A17" s="29"/>
      <c r="B17" s="29"/>
      <c r="C17" s="29"/>
      <c r="D17" s="29"/>
      <c r="E17" s="29"/>
      <c r="F17" s="29"/>
      <c r="G17" s="29"/>
      <c r="H17" s="29"/>
      <c r="I17" s="29"/>
      <c r="J17" s="29"/>
      <c r="K17" s="29"/>
      <c r="L17" s="29"/>
      <c r="M17" s="29"/>
    </row>
    <row r="18" spans="1:14" ht="14.25">
      <c r="A18" s="50"/>
      <c r="B18" s="29"/>
      <c r="C18" s="51" t="s">
        <v>107</v>
      </c>
      <c r="D18" s="52" t="s">
        <v>112</v>
      </c>
      <c r="E18" s="50"/>
      <c r="F18" s="83" t="s">
        <v>215</v>
      </c>
      <c r="G18" s="29"/>
      <c r="H18" s="29"/>
      <c r="I18" s="29"/>
      <c r="J18" s="29"/>
      <c r="K18" s="51" t="s">
        <v>216</v>
      </c>
      <c r="L18" s="52" t="s">
        <v>217</v>
      </c>
      <c r="M18" s="29"/>
      <c r="N18" s="13"/>
    </row>
    <row r="19" spans="1:14" ht="14.25">
      <c r="A19" s="13"/>
      <c r="C19" s="13"/>
      <c r="D19" s="11"/>
      <c r="E19" s="54" t="str">
        <f aca="true" t="shared" si="0" ref="E19:J19">E4</f>
        <v>　Ｃ</v>
      </c>
      <c r="F19" s="55" t="str">
        <f t="shared" si="0"/>
        <v>　Ｓｉ</v>
      </c>
      <c r="G19" s="55" t="str">
        <f t="shared" si="0"/>
        <v>　Ｍｎ</v>
      </c>
      <c r="H19" s="55" t="str">
        <f t="shared" si="0"/>
        <v>　Ｐ</v>
      </c>
      <c r="I19" s="55" t="str">
        <f t="shared" si="0"/>
        <v>　Ｓ</v>
      </c>
      <c r="J19" s="55" t="str">
        <f t="shared" si="0"/>
        <v>　Ｃｕ</v>
      </c>
      <c r="K19" s="31" t="s">
        <v>218</v>
      </c>
      <c r="L19" s="55" t="s">
        <v>219</v>
      </c>
      <c r="M19" s="55" t="s">
        <v>220</v>
      </c>
      <c r="N19" s="13"/>
    </row>
    <row r="20" spans="1:14" ht="14.25">
      <c r="A20" s="51" t="s">
        <v>221</v>
      </c>
      <c r="B20" s="29"/>
      <c r="C20" s="84">
        <f>'配合計算'!K13</f>
        <v>3.8986199999999998</v>
      </c>
      <c r="D20" s="60">
        <f>'配合計算'!K14</f>
        <v>0.9092383702277831</v>
      </c>
      <c r="E20" s="58">
        <f>'配合計算'!K7</f>
        <v>3.54262</v>
      </c>
      <c r="F20" s="59">
        <f>'配合計算'!K8</f>
        <v>1.068</v>
      </c>
      <c r="G20" s="59">
        <f>'配合計算'!K9</f>
        <v>0.3767999999999999</v>
      </c>
      <c r="H20" s="60">
        <f>'配合計算'!K10</f>
        <v>0.0274</v>
      </c>
      <c r="I20" s="60">
        <f>'配合計算'!K11</f>
        <v>0.0765</v>
      </c>
      <c r="J20" s="60">
        <f>'配合計算'!K12</f>
        <v>0.01</v>
      </c>
      <c r="K20" s="85" t="s">
        <v>222</v>
      </c>
      <c r="L20" s="52">
        <f>'配合計算'!M15</f>
        <v>100</v>
      </c>
      <c r="M20" s="86"/>
      <c r="N20" s="13"/>
    </row>
    <row r="21" spans="1:14" ht="14.25">
      <c r="A21" s="81" t="s">
        <v>223</v>
      </c>
      <c r="B21" s="6"/>
      <c r="C21" s="64">
        <f>'配合計算'!L13</f>
        <v>4.07512</v>
      </c>
      <c r="D21" s="66">
        <f>'配合計算'!L14</f>
        <v>0.949565188256481</v>
      </c>
      <c r="E21" s="64">
        <f>'配合計算'!L7</f>
        <v>3.54262</v>
      </c>
      <c r="F21" s="65">
        <f>'配合計算'!L8</f>
        <v>1.5975000000000001</v>
      </c>
      <c r="G21" s="65">
        <f>'配合計算'!L9</f>
        <v>0.5</v>
      </c>
      <c r="H21" s="66">
        <f>'配合計算'!L10</f>
        <v>0.0274</v>
      </c>
      <c r="I21" s="66">
        <f>'配合計算'!L11</f>
        <v>0.0765</v>
      </c>
      <c r="J21" s="66">
        <f>'配合計算'!L12</f>
        <v>0.01</v>
      </c>
      <c r="K21" s="87" t="s">
        <v>224</v>
      </c>
      <c r="L21" s="11"/>
      <c r="M21" s="88">
        <f>'配合計算'!M16</f>
        <v>1</v>
      </c>
      <c r="N21" s="13"/>
    </row>
    <row r="22" spans="1:14" ht="14.25">
      <c r="A22" s="54" t="s">
        <v>225</v>
      </c>
      <c r="B22" s="6"/>
      <c r="C22" s="64">
        <f>'配合計算'!M13</f>
        <v>4.14262</v>
      </c>
      <c r="D22" s="66">
        <f>'配合計算'!M14</f>
        <v>0.965949556918882</v>
      </c>
      <c r="E22" s="64">
        <f>'配合計算'!M7</f>
        <v>3.54262</v>
      </c>
      <c r="F22" s="65">
        <f>'配合計算'!M8</f>
        <v>1.8</v>
      </c>
      <c r="G22" s="65">
        <f>'配合計算'!M9</f>
        <v>0.5</v>
      </c>
      <c r="H22" s="66">
        <f>'配合計算'!M10</f>
        <v>0.0274</v>
      </c>
      <c r="I22" s="66">
        <f>'配合計算'!M11</f>
        <v>0.0765</v>
      </c>
      <c r="J22" s="66">
        <f>'配合計算'!M12</f>
        <v>0.4</v>
      </c>
      <c r="K22" s="71"/>
      <c r="L22" s="63">
        <f>'配合計算'!M17</f>
        <v>218.629783231084</v>
      </c>
      <c r="M22" s="63">
        <f>'配合計算'!M18</f>
        <v>195.92939468302663</v>
      </c>
      <c r="N22" s="13"/>
    </row>
    <row r="23" spans="1:13" ht="14.25">
      <c r="A23" s="29"/>
      <c r="B23" s="29"/>
      <c r="C23" s="29"/>
      <c r="D23" s="29"/>
      <c r="E23" s="29"/>
      <c r="F23" s="29"/>
      <c r="G23" s="29"/>
      <c r="H23" s="29"/>
      <c r="I23" s="29"/>
      <c r="J23" s="29"/>
      <c r="K23" s="29"/>
      <c r="L23" s="29"/>
      <c r="M23" s="29"/>
    </row>
    <row r="24" spans="1:14" ht="14.25">
      <c r="A24" s="50"/>
      <c r="B24" s="52" t="s">
        <v>226</v>
      </c>
      <c r="C24" s="52" t="s">
        <v>227</v>
      </c>
      <c r="D24" s="52" t="s">
        <v>228</v>
      </c>
      <c r="E24" s="52" t="s">
        <v>229</v>
      </c>
      <c r="F24" s="86"/>
      <c r="G24" s="167" t="s">
        <v>251</v>
      </c>
      <c r="H24" s="13"/>
      <c r="J24" t="s">
        <v>230</v>
      </c>
      <c r="K24" s="85" t="s">
        <v>231</v>
      </c>
      <c r="L24" s="53" t="s">
        <v>232</v>
      </c>
      <c r="M24" s="52" t="s">
        <v>233</v>
      </c>
      <c r="N24" s="13"/>
    </row>
    <row r="25" spans="1:14" ht="14.25">
      <c r="A25" s="31" t="s">
        <v>234</v>
      </c>
      <c r="B25" s="5" t="s">
        <v>235</v>
      </c>
      <c r="C25" s="5" t="s">
        <v>236</v>
      </c>
      <c r="D25" s="5" t="s">
        <v>236</v>
      </c>
      <c r="E25" s="89" t="s">
        <v>237</v>
      </c>
      <c r="F25" s="178" t="s">
        <v>238</v>
      </c>
      <c r="G25" s="90" t="s">
        <v>252</v>
      </c>
      <c r="H25" s="13"/>
      <c r="K25" s="31" t="s">
        <v>239</v>
      </c>
      <c r="L25" s="5" t="s">
        <v>239</v>
      </c>
      <c r="M25" s="5" t="s">
        <v>240</v>
      </c>
      <c r="N25" s="13"/>
    </row>
    <row r="26" spans="1:14" ht="14.25">
      <c r="A26" s="13"/>
      <c r="B26" s="67">
        <f>'配合計算'!H9</f>
        <v>13</v>
      </c>
      <c r="C26" s="55">
        <f>'配合計算'!H8</f>
        <v>300</v>
      </c>
      <c r="D26" s="55">
        <f>'配合計算'!H7</f>
        <v>1550</v>
      </c>
      <c r="E26" s="67">
        <f>'配合計算'!AD37</f>
        <v>102.8</v>
      </c>
      <c r="F26" s="67">
        <f>'配合計算'!H18</f>
        <v>39.54202</v>
      </c>
      <c r="G26" s="65">
        <f>'原材料'!W11</f>
        <v>1.1417999999999997</v>
      </c>
      <c r="H26" s="13"/>
      <c r="K26" s="54">
        <f>'配合計算'!Z16</f>
        <v>1040000</v>
      </c>
      <c r="L26" s="55">
        <f>'配合計算'!Z15</f>
        <v>332607.75</v>
      </c>
      <c r="M26" s="67">
        <f>'配合計算'!Z17</f>
        <v>31.981514423076923</v>
      </c>
      <c r="N26" s="13"/>
    </row>
    <row r="27" spans="1:13" ht="14.25">
      <c r="A27" s="29"/>
      <c r="B27" s="29"/>
      <c r="C27" s="29"/>
      <c r="D27" s="29"/>
      <c r="E27" s="29"/>
      <c r="F27" s="29"/>
      <c r="G27" s="29"/>
      <c r="K27" s="29"/>
      <c r="L27" s="29"/>
      <c r="M27" s="29"/>
    </row>
  </sheetData>
  <sheetProtection sheet="1" objects="1" scenarios="1"/>
  <printOptions/>
  <pageMargins left="0.5" right="0.5" top="0.5" bottom="0.5"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2:N11"/>
  <sheetViews>
    <sheetView showGridLines="0" showOutlineSymbols="0" workbookViewId="0" topLeftCell="A4">
      <selection activeCell="F11" sqref="F11"/>
    </sheetView>
  </sheetViews>
  <sheetFormatPr defaultColWidth="9.00390625" defaultRowHeight="14.25"/>
  <cols>
    <col min="1" max="1" width="6.75390625" style="0" customWidth="1"/>
    <col min="2" max="2" width="10.75390625" style="0" customWidth="1"/>
    <col min="3" max="8" width="6.75390625" style="0" customWidth="1"/>
    <col min="9" max="9" width="7.75390625" style="0" customWidth="1"/>
    <col min="10" max="12" width="6.75390625" style="0" customWidth="1"/>
    <col min="13" max="13" width="8.875" style="0" customWidth="1"/>
    <col min="14" max="16384" width="10.75390625" style="0" customWidth="1"/>
  </cols>
  <sheetData>
    <row r="2" spans="2:4" ht="21">
      <c r="B2" s="32" t="s">
        <v>241</v>
      </c>
      <c r="C2" s="91"/>
      <c r="D2" s="91"/>
    </row>
    <row r="5" spans="2:14" ht="14.25">
      <c r="B5" s="96"/>
      <c r="C5" s="99"/>
      <c r="D5" s="130" t="s">
        <v>242</v>
      </c>
      <c r="E5" s="98"/>
      <c r="F5" s="98"/>
      <c r="G5" s="98"/>
      <c r="H5" s="98"/>
      <c r="I5" s="99"/>
      <c r="J5" s="97" t="s">
        <v>243</v>
      </c>
      <c r="K5" s="98"/>
      <c r="L5" s="98"/>
      <c r="M5" s="98"/>
      <c r="N5" s="13"/>
    </row>
    <row r="6" spans="2:14" ht="14.25">
      <c r="B6" s="100"/>
      <c r="C6" s="102" t="str">
        <f>'配合表印刷'!E19</f>
        <v>　Ｃ</v>
      </c>
      <c r="D6" s="102" t="str">
        <f>'配合表印刷'!F19</f>
        <v>　Ｓｉ</v>
      </c>
      <c r="E6" s="102" t="str">
        <f>'配合表印刷'!G19</f>
        <v>　Ｍｎ</v>
      </c>
      <c r="F6" s="102" t="str">
        <f>'配合表印刷'!H19</f>
        <v>　Ｐ</v>
      </c>
      <c r="G6" s="102" t="str">
        <f>'配合表印刷'!I19</f>
        <v>　Ｓ</v>
      </c>
      <c r="H6" s="102" t="str">
        <f>'配合表印刷'!J19</f>
        <v>　Ｃｕ</v>
      </c>
      <c r="I6" s="127" t="s">
        <v>244</v>
      </c>
      <c r="J6" s="101" t="s">
        <v>219</v>
      </c>
      <c r="K6" s="102" t="s">
        <v>220</v>
      </c>
      <c r="L6" s="102" t="s">
        <v>115</v>
      </c>
      <c r="M6" s="102" t="s">
        <v>120</v>
      </c>
      <c r="N6" s="13"/>
    </row>
    <row r="7" spans="2:14" ht="14.25">
      <c r="B7" s="97" t="s">
        <v>245</v>
      </c>
      <c r="C7" s="108">
        <f>'配合表印刷'!E22</f>
        <v>3.54262</v>
      </c>
      <c r="D7" s="108">
        <f>'配合表印刷'!F22</f>
        <v>1.8</v>
      </c>
      <c r="E7" s="108">
        <f>'配合表印刷'!G22</f>
        <v>0.5</v>
      </c>
      <c r="F7" s="168">
        <f>'配合表印刷'!H22</f>
        <v>0.0274</v>
      </c>
      <c r="G7" s="168">
        <f>'配合表印刷'!I22</f>
        <v>0.0765</v>
      </c>
      <c r="H7" s="168">
        <f>'配合表印刷'!J22</f>
        <v>0.4</v>
      </c>
      <c r="I7" s="168">
        <f>C7/(4.23-D7/3.2)</f>
        <v>0.965949556918882</v>
      </c>
      <c r="J7" s="137">
        <f>'配合計算'!M17</f>
        <v>218.629783231084</v>
      </c>
      <c r="K7" s="169">
        <f>'配合計算'!M18</f>
        <v>195.92939468302663</v>
      </c>
      <c r="L7" s="169">
        <f>'配合計算'!M15</f>
        <v>100</v>
      </c>
      <c r="M7" s="108">
        <f>'配合計算'!M16</f>
        <v>1</v>
      </c>
      <c r="N7" s="13"/>
    </row>
    <row r="8" spans="2:14" ht="14.25">
      <c r="B8" s="101" t="s">
        <v>246</v>
      </c>
      <c r="C8" s="193">
        <v>3.6</v>
      </c>
      <c r="D8" s="193">
        <v>1.75</v>
      </c>
      <c r="E8" s="193">
        <v>0.48</v>
      </c>
      <c r="F8" s="194">
        <v>0.025</v>
      </c>
      <c r="G8" s="194">
        <v>0.08</v>
      </c>
      <c r="H8" s="194">
        <v>0.39</v>
      </c>
      <c r="I8" s="92">
        <f>C8/(4.23-D8/3.2)</f>
        <v>0.9774308501612081</v>
      </c>
      <c r="J8" s="204">
        <v>200</v>
      </c>
      <c r="K8" s="205">
        <v>180</v>
      </c>
      <c r="L8" s="93">
        <f>J8/(102-82.5*I8)*9.8</f>
        <v>91.75190251497386</v>
      </c>
      <c r="M8" s="14">
        <f>K8/(100+4.3*J8/9.8)</f>
        <v>0.9586956521739131</v>
      </c>
      <c r="N8" s="13"/>
    </row>
    <row r="9" spans="2:14" ht="14.25">
      <c r="B9" s="101" t="s">
        <v>247</v>
      </c>
      <c r="C9" s="107">
        <f aca="true" t="shared" si="0" ref="C9:I9">C8/C7*100</f>
        <v>101.61970518994417</v>
      </c>
      <c r="D9" s="107">
        <f t="shared" si="0"/>
        <v>97.22222222222221</v>
      </c>
      <c r="E9" s="107">
        <f t="shared" si="0"/>
        <v>96</v>
      </c>
      <c r="F9" s="107">
        <f t="shared" si="0"/>
        <v>91.24087591240875</v>
      </c>
      <c r="G9" s="107">
        <f t="shared" si="0"/>
        <v>104.57516339869282</v>
      </c>
      <c r="H9" s="107">
        <f t="shared" si="0"/>
        <v>97.5</v>
      </c>
      <c r="I9" s="107">
        <f t="shared" si="0"/>
        <v>101.18860174013106</v>
      </c>
      <c r="J9" s="71"/>
      <c r="K9" s="6"/>
      <c r="L9" s="6"/>
      <c r="M9" s="6"/>
      <c r="N9" s="13"/>
    </row>
    <row r="10" spans="2:13" ht="14.25">
      <c r="B10" s="29"/>
      <c r="C10" s="29"/>
      <c r="D10" s="29"/>
      <c r="E10" s="29"/>
      <c r="F10" s="29"/>
      <c r="G10" s="29"/>
      <c r="H10" s="29"/>
      <c r="I10" s="29"/>
      <c r="J10" s="29"/>
      <c r="K10" s="29"/>
      <c r="L10" s="29"/>
      <c r="M10" s="29"/>
    </row>
    <row r="11" spans="2:10" ht="15.75">
      <c r="B11" s="94" t="s">
        <v>248</v>
      </c>
      <c r="C11" s="95"/>
      <c r="D11" s="95"/>
      <c r="E11" s="95"/>
      <c r="F11" s="95"/>
      <c r="G11" s="95"/>
      <c r="H11" s="95"/>
      <c r="I11" s="95"/>
      <c r="J11" s="95"/>
    </row>
  </sheetData>
  <sheetProtection sheet="1" objects="1" scenarios="1"/>
  <printOptions/>
  <pageMargins left="0.5" right="0.5" top="0.5" bottom="0.5"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masao omine</cp:lastModifiedBy>
  <dcterms:created xsi:type="dcterms:W3CDTF">2000-04-26T05:46:40Z</dcterms:created>
  <dcterms:modified xsi:type="dcterms:W3CDTF">2006-11-27T08:48:26Z</dcterms:modified>
  <cp:category/>
  <cp:version/>
  <cp:contentType/>
  <cp:contentStatus/>
</cp:coreProperties>
</file>